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80" yWindow="5025" windowWidth="20745" windowHeight="5145" tabRatio="779"/>
  </bookViews>
  <sheets>
    <sheet name="Koszty ogrzewania" sheetId="1" r:id="rId1"/>
    <sheet name="Wykres - Koszty ogrzewania" sheetId="4" r:id="rId2"/>
    <sheet name="Wykres - Cena 1 kWh" sheetId="5" r:id="rId3"/>
    <sheet name="Symulator - gaz ziemny" sheetId="6" r:id="rId4"/>
  </sheets>
  <definedNames>
    <definedName name="_xlnm.Print_Area" localSheetId="0">'Koszty ogrzewania'!$B$2:$M$43</definedName>
    <definedName name="_xlnm.Print_Area" localSheetId="3">'Symulator - gaz ziemny'!$B$2:$K$69</definedName>
  </definedNames>
  <calcPr calcId="162913"/>
</workbook>
</file>

<file path=xl/calcChain.xml><?xml version="1.0" encoding="utf-8"?>
<calcChain xmlns="http://schemas.openxmlformats.org/spreadsheetml/2006/main">
  <c r="K36" i="1" l="1"/>
  <c r="K33" i="1"/>
  <c r="Y46" i="1"/>
  <c r="D21" i="1"/>
  <c r="F33" i="6"/>
  <c r="F32" i="6"/>
  <c r="F31" i="6"/>
  <c r="F30" i="6"/>
  <c r="F29" i="6"/>
  <c r="F28" i="6"/>
  <c r="F27" i="6"/>
  <c r="F26" i="6"/>
  <c r="F25" i="6"/>
  <c r="F24" i="6"/>
  <c r="F23" i="6"/>
  <c r="F22" i="6"/>
  <c r="C34" i="6"/>
  <c r="E33" i="6"/>
  <c r="E32" i="6"/>
  <c r="E31" i="6"/>
  <c r="E30" i="6"/>
  <c r="E29" i="6"/>
  <c r="E28" i="6"/>
  <c r="E27" i="6"/>
  <c r="E26" i="6"/>
  <c r="E25" i="6"/>
  <c r="E24" i="6"/>
  <c r="E23" i="6"/>
  <c r="E22" i="6"/>
  <c r="K43" i="1"/>
  <c r="K42" i="1"/>
  <c r="K41" i="1"/>
  <c r="K40" i="1"/>
  <c r="K39" i="1"/>
  <c r="K38" i="1"/>
  <c r="K37" i="1"/>
  <c r="K32" i="1"/>
  <c r="K34" i="1"/>
  <c r="K35" i="1"/>
  <c r="D20" i="1"/>
  <c r="L31" i="1" s="1"/>
  <c r="D31" i="1" s="1"/>
  <c r="L33" i="1" l="1"/>
  <c r="J36" i="1"/>
  <c r="J33" i="1"/>
  <c r="U38" i="1"/>
  <c r="U40" i="1" s="1"/>
  <c r="W44" i="1" s="1"/>
  <c r="W46" i="1" s="1"/>
  <c r="K31" i="1"/>
  <c r="J31" i="1"/>
  <c r="L36" i="1"/>
  <c r="D23" i="1"/>
  <c r="U41" i="1" l="1"/>
  <c r="W43" i="1" s="1"/>
  <c r="J37" i="1" s="1"/>
  <c r="L37" i="1"/>
  <c r="L28" i="1"/>
  <c r="D28" i="1" s="1"/>
  <c r="K28" i="1" s="1"/>
  <c r="L30" i="1"/>
  <c r="J42" i="1"/>
  <c r="L34" i="1"/>
  <c r="J43" i="1"/>
  <c r="L35" i="1"/>
  <c r="L38" i="1"/>
  <c r="J39" i="1"/>
  <c r="J40" i="1"/>
  <c r="L32" i="1"/>
  <c r="L29" i="1"/>
  <c r="D29" i="1" s="1"/>
  <c r="K29" i="1" s="1"/>
  <c r="L40" i="1"/>
  <c r="J35" i="1"/>
  <c r="J38" i="1"/>
  <c r="L43" i="1"/>
  <c r="L39" i="1"/>
  <c r="J41" i="1"/>
  <c r="J32" i="1"/>
  <c r="J34" i="1"/>
  <c r="L41" i="1"/>
  <c r="L42" i="1"/>
  <c r="J29" i="1" l="1"/>
  <c r="J28" i="1"/>
  <c r="D5" i="6"/>
  <c r="D30" i="1"/>
  <c r="K30" i="1" l="1"/>
  <c r="J30" i="1"/>
  <c r="D27" i="6"/>
  <c r="D31" i="6"/>
  <c r="D23" i="6"/>
  <c r="D32" i="6"/>
  <c r="D24" i="6"/>
  <c r="F5" i="6"/>
  <c r="D29" i="6"/>
  <c r="D25" i="6"/>
  <c r="D33" i="6"/>
  <c r="D22" i="6"/>
  <c r="D30" i="6"/>
  <c r="D26" i="6"/>
  <c r="D28" i="6"/>
  <c r="G26" i="6" l="1"/>
  <c r="H26" i="6"/>
  <c r="H25" i="6"/>
  <c r="G25" i="6"/>
  <c r="I25" i="6" s="1"/>
  <c r="J25" i="6" s="1"/>
  <c r="H32" i="6"/>
  <c r="G32" i="6"/>
  <c r="I32" i="6" s="1"/>
  <c r="J32" i="6" s="1"/>
  <c r="G30" i="6"/>
  <c r="H30" i="6"/>
  <c r="H29" i="6"/>
  <c r="G29" i="6"/>
  <c r="I29" i="6" s="1"/>
  <c r="J29" i="6" s="1"/>
  <c r="H23" i="6"/>
  <c r="G23" i="6"/>
  <c r="I23" i="6" s="1"/>
  <c r="J23" i="6" s="1"/>
  <c r="H22" i="6"/>
  <c r="D34" i="6"/>
  <c r="G22" i="6"/>
  <c r="H31" i="6"/>
  <c r="G31" i="6"/>
  <c r="H28" i="6"/>
  <c r="G28" i="6"/>
  <c r="H33" i="6"/>
  <c r="G33" i="6"/>
  <c r="H24" i="6"/>
  <c r="G24" i="6"/>
  <c r="H27" i="6"/>
  <c r="G27" i="6"/>
  <c r="I27" i="6" l="1"/>
  <c r="J27" i="6" s="1"/>
  <c r="I33" i="6"/>
  <c r="J33" i="6" s="1"/>
  <c r="I31" i="6"/>
  <c r="J31" i="6" s="1"/>
  <c r="I26" i="6"/>
  <c r="J26" i="6" s="1"/>
  <c r="I24" i="6"/>
  <c r="J24" i="6" s="1"/>
  <c r="I28" i="6"/>
  <c r="J28" i="6" s="1"/>
  <c r="I22" i="6"/>
  <c r="J22" i="6" s="1"/>
  <c r="I30" i="6"/>
  <c r="J30" i="6" s="1"/>
  <c r="J34" i="6" l="1"/>
  <c r="J35" i="6" s="1"/>
</calcChain>
</file>

<file path=xl/sharedStrings.xml><?xml version="1.0" encoding="utf-8"?>
<sst xmlns="http://schemas.openxmlformats.org/spreadsheetml/2006/main" count="268" uniqueCount="172">
  <si>
    <t>Kalkulator kosztów ogrzewania</t>
  </si>
  <si>
    <t>Dane budynku</t>
  </si>
  <si>
    <t>Powierzchnia ogrzewana:</t>
  </si>
  <si>
    <t>Rodazj budynku:</t>
  </si>
  <si>
    <t>Liczba mieszkańców:</t>
  </si>
  <si>
    <t>[m2]</t>
  </si>
  <si>
    <t>[osoby]</t>
  </si>
  <si>
    <t>[kWh/m2rok]</t>
  </si>
  <si>
    <t>Temperatura zimnej wody (wodociągowej):</t>
  </si>
  <si>
    <t>[stC]</t>
  </si>
  <si>
    <t>Liczba dni korzystania z c.w.u.:</t>
  </si>
  <si>
    <t>Wymagana temperatura c.w.u.:</t>
  </si>
  <si>
    <t>[dni/rok]</t>
  </si>
  <si>
    <t>[litr/osobę*dzień]</t>
  </si>
  <si>
    <t xml:space="preserve">Zapotrzebowanie na ciepło </t>
  </si>
  <si>
    <t>[kWh/rok]</t>
  </si>
  <si>
    <t>[-]</t>
  </si>
  <si>
    <t>Całkowite zapotrzebowanie na ciepło, Q =</t>
  </si>
  <si>
    <t>kocioł starego typu</t>
  </si>
  <si>
    <t>kocioł tradycyjny</t>
  </si>
  <si>
    <t>kocioł kondensacyjny</t>
  </si>
  <si>
    <t>Olej opałowy</t>
  </si>
  <si>
    <t>Energia elektr.</t>
  </si>
  <si>
    <t>pompa ciepła - powietrzna</t>
  </si>
  <si>
    <t>pompa ciepła - gruntowa</t>
  </si>
  <si>
    <t>Drewno</t>
  </si>
  <si>
    <t>Paliwo/energia</t>
  </si>
  <si>
    <t>z podajnikiem, "ekogroszek"</t>
  </si>
  <si>
    <t>[zł/m3]</t>
  </si>
  <si>
    <t>[zł/litr]</t>
  </si>
  <si>
    <t>[zł/kWh]</t>
  </si>
  <si>
    <t>[zł/m.p.]</t>
  </si>
  <si>
    <t>[zł/tonę]</t>
  </si>
  <si>
    <t>[kWh/m3]</t>
  </si>
  <si>
    <t>[kWh/litr]</t>
  </si>
  <si>
    <t>[kWh/kg]</t>
  </si>
  <si>
    <t>[%]</t>
  </si>
  <si>
    <t>Koszt ogrzewania</t>
  </si>
  <si>
    <t>[zł brutto/rok]</t>
  </si>
  <si>
    <t>[zł brutto/kWh]</t>
  </si>
  <si>
    <t>[m3/rok]</t>
  </si>
  <si>
    <t>grzejniki akumulacyjne</t>
  </si>
  <si>
    <r>
      <t xml:space="preserve">Współczynnik zapotrzebowania na ciepło, </t>
    </r>
    <r>
      <rPr>
        <b/>
        <sz val="10"/>
        <color theme="1"/>
        <rFont val="Arial"/>
        <family val="2"/>
        <charset val="238"/>
      </rPr>
      <t>k</t>
    </r>
    <r>
      <rPr>
        <sz val="10"/>
        <color theme="1"/>
        <rFont val="Arial"/>
        <family val="2"/>
        <charset val="238"/>
      </rPr>
      <t xml:space="preserve"> =</t>
    </r>
  </si>
  <si>
    <r>
      <t xml:space="preserve">do ogrzewania budynku, </t>
    </r>
    <r>
      <rPr>
        <b/>
        <sz val="10"/>
        <color theme="1"/>
        <rFont val="Arial"/>
        <family val="2"/>
        <charset val="238"/>
      </rPr>
      <t>Qco =</t>
    </r>
  </si>
  <si>
    <r>
      <t xml:space="preserve">do ogrzewania c.w.u.,  </t>
    </r>
    <r>
      <rPr>
        <b/>
        <sz val="10"/>
        <color theme="1"/>
        <rFont val="Arial"/>
        <family val="2"/>
        <charset val="238"/>
      </rPr>
      <t>Qcwu =</t>
    </r>
  </si>
  <si>
    <r>
      <t>Sprawność</t>
    </r>
    <r>
      <rPr>
        <sz val="10"/>
        <color theme="1"/>
        <rFont val="Arial"/>
        <family val="2"/>
        <charset val="238"/>
      </rPr>
      <t xml:space="preserve"> </t>
    </r>
  </si>
  <si>
    <t>Wartość opałowa</t>
  </si>
  <si>
    <t>Koszt 1 kWh</t>
  </si>
  <si>
    <t>[litr/rok]</t>
  </si>
  <si>
    <t>[ton/rok]</t>
  </si>
  <si>
    <t>[m.p./rok]</t>
  </si>
  <si>
    <t>Nowy dom jednorodzinny</t>
  </si>
  <si>
    <t xml:space="preserve"> - dom budowany obecnie:</t>
  </si>
  <si>
    <t>80 - 120</t>
  </si>
  <si>
    <t xml:space="preserve"> - dom energooszczędny:</t>
  </si>
  <si>
    <t xml:space="preserve"> - dom pasywny:</t>
  </si>
  <si>
    <t>10 - 15</t>
  </si>
  <si>
    <t>140 - 160</t>
  </si>
  <si>
    <t>170 - 200</t>
  </si>
  <si>
    <t xml:space="preserve"> - starszy dom - ocieplony:</t>
  </si>
  <si>
    <t xml:space="preserve"> - starszy dom - bez ocieplenia:</t>
  </si>
  <si>
    <t xml:space="preserve">Węgiel </t>
  </si>
  <si>
    <t>LPG</t>
  </si>
  <si>
    <t>(SPF, JAZ)</t>
  </si>
  <si>
    <t xml:space="preserve"> - starszy budynek: 3,5</t>
  </si>
  <si>
    <t xml:space="preserve"> - w ciągu roku mamy 365 dni</t>
  </si>
  <si>
    <r>
      <rPr>
        <b/>
        <sz val="10"/>
        <color theme="1"/>
        <rFont val="Arial"/>
        <family val="2"/>
        <charset val="238"/>
      </rPr>
      <t>SPF (JAZ)</t>
    </r>
    <r>
      <rPr>
        <sz val="10"/>
        <color theme="1"/>
        <rFont val="Arial"/>
        <family val="2"/>
        <charset val="238"/>
      </rPr>
      <t xml:space="preserve"> pompy ciepła - propozycja</t>
    </r>
  </si>
  <si>
    <t>kocioł na drewno - buk</t>
  </si>
  <si>
    <t>kocioł na pelet</t>
  </si>
  <si>
    <t>Uwagi :</t>
  </si>
  <si>
    <r>
      <t xml:space="preserve">Wielkości </t>
    </r>
    <r>
      <rPr>
        <b/>
        <sz val="10"/>
        <color theme="9" tint="-0.249977111117893"/>
        <rFont val="Arial"/>
        <family val="2"/>
        <charset val="238"/>
      </rPr>
      <t xml:space="preserve">kolorową czcionką </t>
    </r>
    <r>
      <rPr>
        <sz val="10"/>
        <color theme="1"/>
        <rFont val="Arial"/>
        <family val="2"/>
        <charset val="238"/>
      </rPr>
      <t>można zmieniać</t>
    </r>
  </si>
  <si>
    <t>30 - 70</t>
  </si>
  <si>
    <t>Koszt paliwa</t>
  </si>
  <si>
    <r>
      <t xml:space="preserve">Zużycie ciepłej wody użytkowej (c.w.u.): </t>
    </r>
    <r>
      <rPr>
        <sz val="10"/>
        <rFont val="Arial"/>
        <family val="2"/>
        <charset val="238"/>
      </rPr>
      <t>30 - 80 litrów/osobę dobę,</t>
    </r>
  </si>
  <si>
    <r>
      <t xml:space="preserve">Zapotrzebowanie na ciepło budynku, k </t>
    </r>
    <r>
      <rPr>
        <sz val="10"/>
        <color theme="1"/>
        <rFont val="Arial"/>
        <family val="2"/>
        <charset val="238"/>
      </rPr>
      <t>(proponowane wielkości):</t>
    </r>
  </si>
  <si>
    <t>(całkowity, brutto)</t>
  </si>
  <si>
    <r>
      <rPr>
        <b/>
        <sz val="10"/>
        <color theme="1"/>
        <rFont val="Arial"/>
        <family val="2"/>
        <charset val="238"/>
      </rPr>
      <t>Sprawność kotłów</t>
    </r>
    <r>
      <rPr>
        <sz val="10"/>
        <color theme="1"/>
        <rFont val="Arial"/>
        <family val="2"/>
        <charset val="238"/>
      </rPr>
      <t xml:space="preserve"> - średnioroczne, w odniesieniu do wartości opałowej paliwa</t>
    </r>
  </si>
  <si>
    <t>Symulacja kosztów ogrzewania gazem ziemnym</t>
  </si>
  <si>
    <t>[zł netto/m-c]</t>
  </si>
  <si>
    <t>Opłata abonamentowa :</t>
  </si>
  <si>
    <t>Cena gazu :</t>
  </si>
  <si>
    <t>Szacunkowe miesięczne koszty ogrzewania</t>
  </si>
  <si>
    <t>Taryfa 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</si>
  <si>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</si>
  <si>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</si>
  <si>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</si>
  <si>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</si>
  <si>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</si>
  <si>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</si>
  <si>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</si>
  <si>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</si>
  <si>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</si>
  <si>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Miesiąc</t>
  </si>
  <si>
    <t>Zużycie gazu</t>
  </si>
  <si>
    <t>X</t>
  </si>
  <si>
    <t>XII</t>
  </si>
  <si>
    <t>XI</t>
  </si>
  <si>
    <t>Opłata abon.</t>
  </si>
  <si>
    <t>Faktura za gaz</t>
  </si>
  <si>
    <t>[m3]</t>
  </si>
  <si>
    <t>[zł netto]</t>
  </si>
  <si>
    <r>
      <t>[</t>
    </r>
    <r>
      <rPr>
        <b/>
        <sz val="10"/>
        <rFont val="Arial"/>
        <family val="2"/>
        <charset val="238"/>
      </rPr>
      <t>zł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brutto</t>
    </r>
    <r>
      <rPr>
        <sz val="10"/>
        <rFont val="Arial"/>
        <family val="2"/>
        <charset val="238"/>
      </rPr>
      <t>]</t>
    </r>
  </si>
  <si>
    <r>
      <t xml:space="preserve">Grzejniki akumulacyjne </t>
    </r>
    <r>
      <rPr>
        <sz val="10"/>
        <color theme="1"/>
        <rFont val="Arial"/>
        <family val="2"/>
        <charset val="238"/>
      </rPr>
      <t>- taryfa G12 noc/dzień: 80%/20%</t>
    </r>
  </si>
  <si>
    <t>SUMA :</t>
  </si>
  <si>
    <t>Gaz ziemny</t>
  </si>
  <si>
    <t xml:space="preserve">Sprzedawca gazu: </t>
  </si>
  <si>
    <t>Zużycie gazu ziemnego:</t>
  </si>
  <si>
    <t>Uwaga :</t>
  </si>
  <si>
    <r>
      <rPr>
        <b/>
        <sz val="10"/>
        <color theme="1"/>
        <rFont val="Arial"/>
        <family val="2"/>
        <charset val="238"/>
      </rPr>
      <t>Koszt gazu ziemnego -</t>
    </r>
    <r>
      <rPr>
        <sz val="10"/>
        <color theme="1"/>
        <rFont val="Arial"/>
        <family val="2"/>
        <charset val="238"/>
      </rPr>
      <t xml:space="preserve"> obliczany w arkuszu: Symulator - gaz ziemny</t>
    </r>
  </si>
  <si>
    <r>
      <rPr>
        <b/>
        <sz val="10"/>
        <color theme="1"/>
        <rFont val="Arial"/>
        <family val="2"/>
        <charset val="238"/>
      </rPr>
      <t>Zużycie c.w.u.</t>
    </r>
    <r>
      <rPr>
        <sz val="10"/>
        <color theme="1"/>
        <rFont val="Arial"/>
        <family val="2"/>
        <charset val="238"/>
      </rPr>
      <t xml:space="preserve"> :</t>
    </r>
  </si>
  <si>
    <t>Kolektory słoneczne do c.w.u.:</t>
  </si>
  <si>
    <t>Stopień pokrycia zapotrzebowania na ciepło:</t>
  </si>
  <si>
    <t>Straty ciepła instalacji c.w.u.:</t>
  </si>
  <si>
    <t>Straty cyrkulacji i postojowe zbiornika c.w.u.:</t>
  </si>
  <si>
    <t>Kocioł miałowy + grzałka elektryczna do c.w.u.:</t>
  </si>
  <si>
    <t>Qcwu=</t>
  </si>
  <si>
    <t>[kWh/m-c]</t>
  </si>
  <si>
    <t>grzałka pracuje:</t>
  </si>
  <si>
    <t>miesięcy w roku</t>
  </si>
  <si>
    <t>zużycie pradu przez grzałkę:</t>
  </si>
  <si>
    <t>kocioł - c.w.u.:</t>
  </si>
  <si>
    <t>kocioł miałowy+grzałka elektryczna</t>
  </si>
  <si>
    <t>Zużycie pradu przez grzałkę elektryczną:</t>
  </si>
  <si>
    <t>Koszt energii elektrycznej:</t>
  </si>
  <si>
    <t>Zapotrzebowanie na ciepło - c.o. i c.w.u.:</t>
  </si>
  <si>
    <t>[zł brutto], za:</t>
  </si>
  <si>
    <t>Koszt ogrzewania c.w.u.grzałką:</t>
  </si>
  <si>
    <t xml:space="preserve"> - 2 tygodnie urlopu - można przyjąć do obliczeń: 351 dni w roku</t>
  </si>
  <si>
    <t>Współczynnik konwersji:</t>
  </si>
  <si>
    <r>
      <t>Normatywny współczynnik konwersji</t>
    </r>
    <r>
      <rPr>
        <sz val="10"/>
        <rFont val="Arial"/>
        <family val="2"/>
        <charset val="238"/>
      </rPr>
      <t xml:space="preserve"> - służy do przeliczania ilości paliwa gazowego [m3] </t>
    </r>
  </si>
  <si>
    <t>na ilość dostarczonej z paliwem energii [kWh]; zależy od jakości gazu (jego ciepła spalania)</t>
  </si>
  <si>
    <t xml:space="preserve"> i może się zmieniać - co uwzględniać będzie wysokość rachunku za gaz.</t>
  </si>
  <si>
    <t>Opłata dystrybucyjna stała :</t>
  </si>
  <si>
    <t>[gr netto/kWh]</t>
  </si>
  <si>
    <t>Opłata dystrybucyjna zmienna :</t>
  </si>
  <si>
    <t>[m3/rok]      =</t>
  </si>
  <si>
    <t>Opłata dys. stała</t>
  </si>
  <si>
    <t>Cena gazu</t>
  </si>
  <si>
    <t>Wartość rachunku</t>
  </si>
  <si>
    <t>Ceny jednostkowe gazu (netto):</t>
  </si>
  <si>
    <t>[zł.netto]</t>
  </si>
  <si>
    <t>Opłata dys. zmi.</t>
  </si>
  <si>
    <t>kocioł kondensacyjny+solary</t>
  </si>
  <si>
    <t>Koszty ogrzewania :</t>
  </si>
  <si>
    <t>Zużycie paliwa</t>
  </si>
  <si>
    <t>Odpowiednie taryfy w zależności od sprzedawcy i zużycia gazu, np., dla firmy PGNiG:</t>
  </si>
  <si>
    <r>
      <rPr>
        <b/>
        <sz val="10"/>
        <rFont val="Arial"/>
        <family val="2"/>
        <charset val="238"/>
      </rPr>
      <t>W-3.9</t>
    </r>
    <r>
      <rPr>
        <sz val="10"/>
        <rFont val="Arial"/>
        <family val="2"/>
        <charset val="238"/>
      </rPr>
      <t xml:space="preserve"> - roczna ilość zużywanego gazu od 1200 do 8000 m3,</t>
    </r>
  </si>
  <si>
    <t xml:space="preserve">               rachunki "miesięczne" na podstawie ilości zużytego gazu (9 odczytów licznika w roku)</t>
  </si>
  <si>
    <t>PGNiG</t>
  </si>
  <si>
    <t>W-3.9</t>
  </si>
  <si>
    <t>(bez kolektorów słonecznych):</t>
  </si>
  <si>
    <r>
      <t xml:space="preserve">Odczytane z tabeli dla </t>
    </r>
    <r>
      <rPr>
        <b/>
        <sz val="10"/>
        <rFont val="Arial"/>
        <family val="2"/>
        <charset val="238"/>
      </rPr>
      <t>kotła kondensacyjnego</t>
    </r>
    <r>
      <rPr>
        <sz val="10"/>
        <rFont val="Arial"/>
        <family val="2"/>
        <charset val="238"/>
      </rPr>
      <t>, w arkuszu "Koszty ogrzewania"</t>
    </r>
  </si>
  <si>
    <t xml:space="preserve"> od efektywności danego urządzenia:</t>
  </si>
  <si>
    <r>
      <t xml:space="preserve">Pompa ciepła </t>
    </r>
    <r>
      <rPr>
        <b/>
        <sz val="10"/>
        <color theme="1"/>
        <rFont val="Arial"/>
        <family val="2"/>
        <charset val="238"/>
      </rPr>
      <t>gruntowa</t>
    </r>
    <r>
      <rPr>
        <sz val="10"/>
        <color theme="1"/>
        <rFont val="Arial"/>
        <family val="2"/>
        <charset val="238"/>
      </rPr>
      <t>:</t>
    </r>
  </si>
  <si>
    <r>
      <t xml:space="preserve">Pompa ciepła </t>
    </r>
    <r>
      <rPr>
        <b/>
        <sz val="10"/>
        <color theme="1"/>
        <rFont val="Arial"/>
        <family val="2"/>
        <charset val="238"/>
      </rPr>
      <t>powietrzna</t>
    </r>
    <r>
      <rPr>
        <sz val="10"/>
        <color theme="1"/>
        <rFont val="Arial"/>
        <family val="2"/>
        <charset val="238"/>
      </rPr>
      <t xml:space="preserve"> - w dużym stopniu zalezności</t>
    </r>
  </si>
  <si>
    <t>http://ure.gov.pl/ftp/ure-kalkulator/ure/formularz_kalkulator_html.php</t>
  </si>
  <si>
    <r>
      <t xml:space="preserve"> Ceny energii elektrycznej można ustalić </t>
    </r>
    <r>
      <rPr>
        <b/>
        <sz val="10"/>
        <color theme="1"/>
        <rFont val="Arial"/>
        <family val="2"/>
        <charset val="238"/>
      </rPr>
      <t>Kalkulatorem URE</t>
    </r>
    <r>
      <rPr>
        <sz val="10"/>
        <color theme="1"/>
        <rFont val="Arial"/>
        <family val="2"/>
        <charset val="238"/>
      </rPr>
      <t xml:space="preserve">: </t>
    </r>
  </si>
  <si>
    <r>
      <t xml:space="preserve">Cena energii elektrycznej </t>
    </r>
    <r>
      <rPr>
        <sz val="10"/>
        <color theme="1"/>
        <rFont val="Arial"/>
        <family val="2"/>
        <charset val="238"/>
      </rPr>
      <t>- zależy od sprzedawcy prądu, taryfy</t>
    </r>
  </si>
  <si>
    <t xml:space="preserve"> i ilości zużywanego pradu </t>
  </si>
  <si>
    <t xml:space="preserve"> - nowy dom: 4,4</t>
  </si>
  <si>
    <t xml:space="preserve"> - starszy budynek: 2,9</t>
  </si>
  <si>
    <t xml:space="preserve"> - nowy dom: 3,7</t>
  </si>
  <si>
    <r>
      <rPr>
        <b/>
        <sz val="10"/>
        <color theme="1"/>
        <rFont val="Arial"/>
        <family val="2"/>
        <charset val="238"/>
      </rPr>
      <t>Pompa ciepła gruntowa</t>
    </r>
    <r>
      <rPr>
        <sz val="10"/>
        <color theme="1"/>
        <rFont val="Arial"/>
        <family val="2"/>
        <charset val="238"/>
      </rPr>
      <t xml:space="preserve"> -  taryfa G11; pompa ciepła pokrywa całkowite zpotrzebowanie na ciepło do ogrzewania budynku</t>
    </r>
  </si>
  <si>
    <r>
      <rPr>
        <b/>
        <sz val="10"/>
        <color theme="1"/>
        <rFont val="Arial"/>
        <family val="2"/>
        <charset val="238"/>
      </rPr>
      <t>Pompa ciepła powietrzna</t>
    </r>
    <r>
      <rPr>
        <sz val="10"/>
        <color theme="1"/>
        <rFont val="Arial"/>
        <family val="2"/>
        <charset val="238"/>
      </rPr>
      <t xml:space="preserve"> - taryfa G11; dodatkowe źródło ciepła - grzałka elektryczna uwzględniona w JAZ
(udział grzałki dla poprawnie dobranej pompy ciepła wynosi w skali roku od 1% do 4%)</t>
    </r>
  </si>
  <si>
    <t>do wstępnych obliczeń proponuję przyjąć: 50-60 litrów/osobę dobę</t>
  </si>
  <si>
    <r>
      <t xml:space="preserve">Aktualizacja cen paliw i energii : </t>
    </r>
    <r>
      <rPr>
        <b/>
        <sz val="10"/>
        <color rgb="FFFF0000"/>
        <rFont val="Arial"/>
        <family val="2"/>
        <charset val="238"/>
      </rPr>
      <t>09.2017r.</t>
    </r>
  </si>
  <si>
    <r>
      <rPr>
        <b/>
        <sz val="10"/>
        <color theme="1"/>
        <rFont val="Arial"/>
        <family val="2"/>
        <charset val="238"/>
      </rPr>
      <t>Gaz ziemny</t>
    </r>
    <r>
      <rPr>
        <sz val="10"/>
        <color theme="1"/>
        <rFont val="Arial"/>
        <family val="2"/>
        <charset val="238"/>
      </rPr>
      <t xml:space="preserve"> - GZ-50 ( E / G20 )</t>
    </r>
  </si>
  <si>
    <r>
      <rPr>
        <b/>
        <sz val="10"/>
        <color theme="1"/>
        <rFont val="Arial"/>
        <family val="2"/>
        <charset val="238"/>
      </rPr>
      <t>Gaz płynny (LPG)</t>
    </r>
    <r>
      <rPr>
        <sz val="10"/>
        <color theme="1"/>
        <rFont val="Arial"/>
        <family val="2"/>
        <charset val="238"/>
      </rPr>
      <t xml:space="preserve"> - propan techniczny</t>
    </r>
  </si>
  <si>
    <r>
      <t>Całkowity koszt jednostkowy</t>
    </r>
    <r>
      <rPr>
        <sz val="10"/>
        <rFont val="Arial"/>
        <family val="2"/>
        <charset val="238"/>
      </rPr>
      <t xml:space="preserve"> gazu</t>
    </r>
    <r>
      <rPr>
        <b/>
        <sz val="10"/>
        <rFont val="Arial"/>
        <family val="2"/>
        <charset val="238"/>
      </rPr>
      <t xml:space="preserve"> :</t>
    </r>
  </si>
  <si>
    <t>[zł brutto/m3/rok]</t>
  </si>
  <si>
    <t>wersja GK 09/2017</t>
  </si>
  <si>
    <t>Cena dotyczy tylko paliwa i nie uwzględnia kosztów dzierżawy butli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</si>
</sst>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21" x14ac:knownFonts="1"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C35D09"/>
      <name val="Arial"/>
      <family val="2"/>
      <charset val="238"/>
    </font>
    <font>
      <b/>
      <sz val="10"/>
      <color rgb="FFB4560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10"/>
      <color rgb="FFC00000"/>
      <name val="Arial"/>
      <family val="2"/>
      <charset val="238"/>
    </font>
    <font>
      <u/>
      <sz val="9"/>
      <color theme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C0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5D09"/>
        <bgColor indexed="64"/>
      </patternFill>
    </fill>
    <fill>
      <patternFill patternType="solid">
        <fgColor rgb="FFB4560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4" borderId="0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horizontal="left"/>
    </xf>
    <xf numFmtId="1" fontId="3" fillId="4" borderId="0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3" fillId="4" borderId="7" xfId="0" applyFont="1" applyFill="1" applyBorder="1"/>
    <xf numFmtId="0" fontId="2" fillId="4" borderId="15" xfId="0" applyFont="1" applyFill="1" applyBorder="1"/>
    <xf numFmtId="0" fontId="3" fillId="4" borderId="16" xfId="0" applyFont="1" applyFill="1" applyBorder="1"/>
    <xf numFmtId="0" fontId="2" fillId="4" borderId="15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8" xfId="0" applyFont="1" applyFill="1" applyBorder="1"/>
    <xf numFmtId="0" fontId="3" fillId="4" borderId="14" xfId="0" applyFont="1" applyFill="1" applyBorder="1"/>
    <xf numFmtId="0" fontId="3" fillId="4" borderId="6" xfId="0" applyFont="1" applyFill="1" applyBorder="1"/>
    <xf numFmtId="0" fontId="3" fillId="4" borderId="12" xfId="0" applyFont="1" applyFill="1" applyBorder="1"/>
    <xf numFmtId="0" fontId="3" fillId="4" borderId="4" xfId="0" applyFont="1" applyFill="1" applyBorder="1"/>
    <xf numFmtId="2" fontId="5" fillId="4" borderId="15" xfId="0" applyNumberFormat="1" applyFont="1" applyFill="1" applyBorder="1" applyAlignment="1">
      <alignment horizontal="left"/>
    </xf>
    <xf numFmtId="2" fontId="5" fillId="4" borderId="11" xfId="0" applyNumberFormat="1" applyFont="1" applyFill="1" applyBorder="1" applyAlignment="1">
      <alignment horizontal="left"/>
    </xf>
    <xf numFmtId="2" fontId="5" fillId="4" borderId="13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3" xfId="0" applyNumberFormat="1" applyFont="1" applyFill="1" applyBorder="1" applyAlignment="1">
      <alignment horizontal="left"/>
    </xf>
    <xf numFmtId="1" fontId="5" fillId="4" borderId="11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3" fillId="4" borderId="11" xfId="0" applyFont="1" applyFill="1" applyBorder="1" applyAlignment="1">
      <alignment horizontal="left"/>
    </xf>
    <xf numFmtId="2" fontId="8" fillId="4" borderId="15" xfId="0" applyNumberFormat="1" applyFont="1" applyFill="1" applyBorder="1" applyAlignment="1">
      <alignment horizontal="left"/>
    </xf>
    <xf numFmtId="2" fontId="8" fillId="4" borderId="11" xfId="0" applyNumberFormat="1" applyFont="1" applyFill="1" applyBorder="1" applyAlignment="1">
      <alignment horizontal="left"/>
    </xf>
    <xf numFmtId="2" fontId="8" fillId="4" borderId="13" xfId="0" applyNumberFormat="1" applyFont="1" applyFill="1" applyBorder="1" applyAlignment="1">
      <alignment horizontal="left"/>
    </xf>
    <xf numFmtId="0" fontId="2" fillId="9" borderId="0" xfId="0" applyFont="1" applyFill="1" applyBorder="1"/>
    <xf numFmtId="0" fontId="3" fillId="9" borderId="0" xfId="0" applyFont="1" applyFill="1" applyBorder="1"/>
    <xf numFmtId="0" fontId="8" fillId="9" borderId="0" xfId="0" applyFont="1" applyFill="1" applyBorder="1"/>
    <xf numFmtId="49" fontId="8" fillId="9" borderId="0" xfId="0" applyNumberFormat="1" applyFont="1" applyFill="1" applyBorder="1"/>
    <xf numFmtId="0" fontId="2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8" fillId="4" borderId="0" xfId="0" applyFont="1" applyFill="1" applyBorder="1"/>
    <xf numFmtId="0" fontId="3" fillId="3" borderId="0" xfId="0" applyFont="1" applyFill="1" applyBorder="1"/>
    <xf numFmtId="1" fontId="8" fillId="4" borderId="13" xfId="0" applyNumberFormat="1" applyFont="1" applyFill="1" applyBorder="1" applyAlignment="1">
      <alignment horizontal="left"/>
    </xf>
    <xf numFmtId="0" fontId="9" fillId="9" borderId="0" xfId="0" applyFont="1" applyFill="1" applyBorder="1"/>
    <xf numFmtId="0" fontId="10" fillId="4" borderId="0" xfId="0" applyFont="1" applyFill="1" applyBorder="1"/>
    <xf numFmtId="164" fontId="5" fillId="4" borderId="15" xfId="0" applyNumberFormat="1" applyFont="1" applyFill="1" applyBorder="1" applyAlignment="1">
      <alignment horizontal="left"/>
    </xf>
    <xf numFmtId="164" fontId="5" fillId="4" borderId="11" xfId="0" applyNumberFormat="1" applyFont="1" applyFill="1" applyBorder="1" applyAlignment="1">
      <alignment horizontal="left"/>
    </xf>
    <xf numFmtId="0" fontId="11" fillId="4" borderId="0" xfId="0" applyFont="1" applyFill="1" applyBorder="1"/>
    <xf numFmtId="0" fontId="12" fillId="4" borderId="0" xfId="0" applyFont="1" applyFill="1" applyBorder="1"/>
    <xf numFmtId="0" fontId="8" fillId="4" borderId="0" xfId="0" applyFont="1" applyFill="1"/>
    <xf numFmtId="0" fontId="9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Border="1"/>
    <xf numFmtId="0" fontId="9" fillId="4" borderId="1" xfId="0" applyFont="1" applyFill="1" applyBorder="1"/>
    <xf numFmtId="0" fontId="15" fillId="4" borderId="0" xfId="0" applyFont="1" applyFill="1" applyAlignment="1">
      <alignment horizontal="left"/>
    </xf>
    <xf numFmtId="1" fontId="9" fillId="4" borderId="0" xfId="0" applyNumberFormat="1" applyFont="1" applyFill="1" applyAlignment="1">
      <alignment horizontal="left"/>
    </xf>
    <xf numFmtId="1" fontId="8" fillId="4" borderId="0" xfId="0" applyNumberFormat="1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9" fillId="4" borderId="7" xfId="0" applyFont="1" applyFill="1" applyBorder="1"/>
    <xf numFmtId="0" fontId="9" fillId="4" borderId="2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left"/>
    </xf>
    <xf numFmtId="2" fontId="8" fillId="4" borderId="2" xfId="0" applyNumberFormat="1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left"/>
    </xf>
    <xf numFmtId="2" fontId="8" fillId="4" borderId="4" xfId="0" applyNumberFormat="1" applyFont="1" applyFill="1" applyBorder="1" applyAlignment="1">
      <alignment horizontal="left"/>
    </xf>
    <xf numFmtId="2" fontId="8" fillId="4" borderId="8" xfId="0" applyNumberFormat="1" applyFont="1" applyFill="1" applyBorder="1" applyAlignment="1">
      <alignment horizontal="left"/>
    </xf>
    <xf numFmtId="2" fontId="8" fillId="4" borderId="6" xfId="0" applyNumberFormat="1" applyFont="1" applyFill="1" applyBorder="1" applyAlignment="1">
      <alignment horizontal="left"/>
    </xf>
    <xf numFmtId="0" fontId="9" fillId="4" borderId="9" xfId="0" applyFont="1" applyFill="1" applyBorder="1"/>
    <xf numFmtId="9" fontId="9" fillId="4" borderId="20" xfId="0" applyNumberFormat="1" applyFont="1" applyFill="1" applyBorder="1" applyAlignment="1">
      <alignment horizontal="center"/>
    </xf>
    <xf numFmtId="0" fontId="8" fillId="4" borderId="20" xfId="0" applyFont="1" applyFill="1" applyBorder="1"/>
    <xf numFmtId="1" fontId="9" fillId="4" borderId="20" xfId="0" applyNumberFormat="1" applyFont="1" applyFill="1" applyBorder="1" applyAlignment="1">
      <alignment horizontal="left"/>
    </xf>
    <xf numFmtId="0" fontId="9" fillId="4" borderId="21" xfId="0" applyFont="1" applyFill="1" applyBorder="1"/>
    <xf numFmtId="0" fontId="8" fillId="4" borderId="22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7" fillId="4" borderId="0" xfId="0" applyFont="1" applyFill="1"/>
    <xf numFmtId="2" fontId="9" fillId="4" borderId="0" xfId="0" applyNumberFormat="1" applyFont="1" applyFill="1" applyBorder="1"/>
    <xf numFmtId="0" fontId="14" fillId="4" borderId="0" xfId="0" applyFont="1" applyFill="1" applyBorder="1"/>
    <xf numFmtId="2" fontId="14" fillId="4" borderId="0" xfId="0" applyNumberFormat="1" applyFont="1" applyFill="1" applyBorder="1"/>
    <xf numFmtId="165" fontId="8" fillId="4" borderId="0" xfId="0" applyNumberFormat="1" applyFont="1" applyFill="1" applyBorder="1"/>
    <xf numFmtId="165" fontId="8" fillId="4" borderId="0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1" fontId="18" fillId="4" borderId="0" xfId="0" applyNumberFormat="1" applyFont="1" applyFill="1" applyBorder="1" applyAlignment="1">
      <alignment horizontal="left"/>
    </xf>
    <xf numFmtId="2" fontId="9" fillId="12" borderId="10" xfId="0" applyNumberFormat="1" applyFont="1" applyFill="1" applyBorder="1" applyAlignment="1">
      <alignment horizontal="left"/>
    </xf>
    <xf numFmtId="2" fontId="9" fillId="4" borderId="2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left"/>
    </xf>
    <xf numFmtId="2" fontId="9" fillId="4" borderId="6" xfId="0" applyNumberFormat="1" applyFont="1" applyFill="1" applyBorder="1" applyAlignment="1">
      <alignment horizontal="left"/>
    </xf>
    <xf numFmtId="2" fontId="9" fillId="11" borderId="10" xfId="0" applyNumberFormat="1" applyFont="1" applyFill="1" applyBorder="1" applyAlignment="1">
      <alignment horizontal="left"/>
    </xf>
    <xf numFmtId="0" fontId="8" fillId="9" borderId="0" xfId="0" applyFont="1" applyFill="1"/>
    <xf numFmtId="0" fontId="9" fillId="9" borderId="0" xfId="0" applyFont="1" applyFill="1"/>
    <xf numFmtId="0" fontId="8" fillId="12" borderId="0" xfId="0" applyFont="1" applyFill="1"/>
    <xf numFmtId="2" fontId="9" fillId="4" borderId="0" xfId="0" applyNumberFormat="1" applyFont="1" applyFill="1" applyBorder="1" applyAlignment="1">
      <alignment horizontal="left"/>
    </xf>
    <xf numFmtId="9" fontId="15" fillId="4" borderId="1" xfId="0" applyNumberFormat="1" applyFont="1" applyFill="1" applyBorder="1" applyAlignment="1">
      <alignment horizontal="center"/>
    </xf>
    <xf numFmtId="9" fontId="15" fillId="4" borderId="3" xfId="0" applyNumberFormat="1" applyFont="1" applyFill="1" applyBorder="1" applyAlignment="1">
      <alignment horizontal="center"/>
    </xf>
    <xf numFmtId="9" fontId="15" fillId="4" borderId="5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9" fillId="4" borderId="4" xfId="0" applyNumberFormat="1" applyFont="1" applyFill="1" applyBorder="1" applyAlignment="1">
      <alignment horizontal="left"/>
    </xf>
    <xf numFmtId="1" fontId="9" fillId="4" borderId="6" xfId="0" applyNumberFormat="1" applyFont="1" applyFill="1" applyBorder="1" applyAlignment="1">
      <alignment horizontal="left"/>
    </xf>
    <xf numFmtId="0" fontId="3" fillId="10" borderId="0" xfId="0" applyFont="1" applyFill="1" applyBorder="1"/>
    <xf numFmtId="0" fontId="1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2" fillId="13" borderId="0" xfId="0" applyFont="1" applyFill="1" applyBorder="1"/>
    <xf numFmtId="0" fontId="3" fillId="13" borderId="0" xfId="0" applyFont="1" applyFill="1" applyBorder="1"/>
    <xf numFmtId="1" fontId="3" fillId="13" borderId="0" xfId="0" applyNumberFormat="1" applyFont="1" applyFill="1" applyBorder="1" applyAlignment="1">
      <alignment horizontal="center"/>
    </xf>
    <xf numFmtId="1" fontId="2" fillId="13" borderId="0" xfId="0" applyNumberFormat="1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  <xf numFmtId="1" fontId="3" fillId="13" borderId="0" xfId="0" applyNumberFormat="1" applyFont="1" applyFill="1" applyBorder="1"/>
    <xf numFmtId="1" fontId="2" fillId="13" borderId="0" xfId="0" applyNumberFormat="1" applyFont="1" applyFill="1" applyBorder="1"/>
    <xf numFmtId="0" fontId="5" fillId="13" borderId="0" xfId="0" applyFont="1" applyFill="1" applyBorder="1"/>
    <xf numFmtId="0" fontId="2" fillId="13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8" fillId="4" borderId="8" xfId="0" applyFont="1" applyFill="1" applyBorder="1"/>
    <xf numFmtId="2" fontId="15" fillId="4" borderId="0" xfId="0" applyNumberFormat="1" applyFont="1" applyFill="1" applyAlignment="1">
      <alignment horizontal="left"/>
    </xf>
    <xf numFmtId="166" fontId="9" fillId="4" borderId="0" xfId="0" applyNumberFormat="1" applyFont="1" applyFill="1" applyAlignment="1">
      <alignment horizontal="center"/>
    </xf>
    <xf numFmtId="0" fontId="3" fillId="4" borderId="11" xfId="0" applyFont="1" applyFill="1" applyBorder="1"/>
    <xf numFmtId="0" fontId="2" fillId="4" borderId="3" xfId="0" applyFont="1" applyFill="1" applyBorder="1"/>
    <xf numFmtId="0" fontId="2" fillId="10" borderId="1" xfId="0" applyFont="1" applyFill="1" applyBorder="1" applyAlignment="1">
      <alignment horizontal="left"/>
    </xf>
    <xf numFmtId="2" fontId="8" fillId="4" borderId="1" xfId="0" applyNumberFormat="1" applyFont="1" applyFill="1" applyBorder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2" fontId="18" fillId="4" borderId="0" xfId="0" applyNumberFormat="1" applyFont="1" applyFill="1" applyBorder="1" applyAlignment="1">
      <alignment horizontal="left"/>
    </xf>
    <xf numFmtId="2" fontId="5" fillId="4" borderId="0" xfId="0" applyNumberFormat="1" applyFont="1" applyFill="1" applyBorder="1" applyAlignment="1">
      <alignment horizontal="left"/>
    </xf>
    <xf numFmtId="1" fontId="5" fillId="4" borderId="0" xfId="0" applyNumberFormat="1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2" fontId="18" fillId="4" borderId="7" xfId="0" applyNumberFormat="1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2" fontId="18" fillId="4" borderId="1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6" fontId="19" fillId="4" borderId="0" xfId="0" applyNumberFormat="1" applyFont="1" applyFill="1" applyAlignment="1">
      <alignment horizontal="left"/>
    </xf>
    <xf numFmtId="166" fontId="15" fillId="4" borderId="0" xfId="0" applyNumberFormat="1" applyFont="1" applyFill="1" applyAlignment="1">
      <alignment horizontal="left"/>
    </xf>
    <xf numFmtId="0" fontId="2" fillId="3" borderId="0" xfId="0" applyFont="1" applyFill="1" applyBorder="1"/>
    <xf numFmtId="0" fontId="20" fillId="3" borderId="0" xfId="1" applyFont="1" applyFill="1" applyBorder="1" applyAlignment="1" applyProtection="1"/>
    <xf numFmtId="0" fontId="2" fillId="10" borderId="0" xfId="0" applyFont="1" applyFill="1" applyBorder="1"/>
    <xf numFmtId="1" fontId="2" fillId="10" borderId="19" xfId="0" applyNumberFormat="1" applyFont="1" applyFill="1" applyBorder="1" applyAlignment="1" applyProtection="1">
      <alignment horizontal="center"/>
      <protection hidden="1"/>
    </xf>
    <xf numFmtId="2" fontId="2" fillId="4" borderId="19" xfId="0" applyNumberFormat="1" applyFont="1" applyFill="1" applyBorder="1" applyAlignment="1" applyProtection="1">
      <alignment horizontal="center"/>
      <protection hidden="1"/>
    </xf>
    <xf numFmtId="1" fontId="2" fillId="4" borderId="7" xfId="0" applyNumberFormat="1" applyFont="1" applyFill="1" applyBorder="1" applyAlignment="1" applyProtection="1">
      <alignment horizontal="center"/>
      <protection hidden="1"/>
    </xf>
    <xf numFmtId="1" fontId="2" fillId="10" borderId="17" xfId="0" applyNumberFormat="1" applyFont="1" applyFill="1" applyBorder="1" applyAlignment="1" applyProtection="1">
      <alignment horizontal="center"/>
      <protection hidden="1"/>
    </xf>
    <xf numFmtId="2" fontId="2" fillId="4" borderId="17" xfId="0" applyNumberFormat="1" applyFont="1" applyFill="1" applyBorder="1" applyAlignment="1" applyProtection="1">
      <alignment horizontal="center"/>
      <protection hidden="1"/>
    </xf>
    <xf numFmtId="1" fontId="2" fillId="4" borderId="0" xfId="0" applyNumberFormat="1" applyFont="1" applyFill="1" applyBorder="1" applyAlignment="1" applyProtection="1">
      <alignment horizontal="center"/>
      <protection hidden="1"/>
    </xf>
    <xf numFmtId="1" fontId="2" fillId="5" borderId="19" xfId="0" applyNumberFormat="1" applyFont="1" applyFill="1" applyBorder="1" applyAlignment="1" applyProtection="1">
      <alignment horizontal="center"/>
      <protection hidden="1"/>
    </xf>
    <xf numFmtId="1" fontId="2" fillId="4" borderId="15" xfId="0" applyNumberFormat="1" applyFont="1" applyFill="1" applyBorder="1" applyAlignment="1" applyProtection="1">
      <alignment horizontal="center"/>
      <protection hidden="1"/>
    </xf>
    <xf numFmtId="1" fontId="2" fillId="5" borderId="17" xfId="0" applyNumberFormat="1" applyFont="1" applyFill="1" applyBorder="1" applyAlignment="1" applyProtection="1">
      <alignment horizontal="center"/>
      <protection hidden="1"/>
    </xf>
    <xf numFmtId="1" fontId="2" fillId="4" borderId="11" xfId="0" applyNumberFormat="1" applyFont="1" applyFill="1" applyBorder="1" applyAlignment="1" applyProtection="1">
      <alignment horizontal="center"/>
      <protection hidden="1"/>
    </xf>
    <xf numFmtId="1" fontId="2" fillId="6" borderId="19" xfId="0" applyNumberFormat="1" applyFont="1" applyFill="1" applyBorder="1" applyAlignment="1" applyProtection="1">
      <alignment horizontal="center"/>
      <protection hidden="1"/>
    </xf>
    <xf numFmtId="1" fontId="2" fillId="6" borderId="17" xfId="0" applyNumberFormat="1" applyFont="1" applyFill="1" applyBorder="1" applyAlignment="1" applyProtection="1">
      <alignment horizontal="center"/>
      <protection hidden="1"/>
    </xf>
    <xf numFmtId="1" fontId="2" fillId="6" borderId="18" xfId="0" applyNumberFormat="1" applyFont="1" applyFill="1" applyBorder="1" applyAlignment="1" applyProtection="1">
      <alignment horizontal="center"/>
      <protection hidden="1"/>
    </xf>
    <xf numFmtId="2" fontId="2" fillId="4" borderId="18" xfId="0" applyNumberFormat="1" applyFont="1" applyFill="1" applyBorder="1" applyAlignment="1" applyProtection="1">
      <alignment horizontal="center"/>
      <protection hidden="1"/>
    </xf>
    <xf numFmtId="1" fontId="2" fillId="4" borderId="13" xfId="0" applyNumberFormat="1" applyFont="1" applyFill="1" applyBorder="1" applyAlignment="1" applyProtection="1">
      <alignment horizontal="center"/>
      <protection hidden="1"/>
    </xf>
    <xf numFmtId="1" fontId="2" fillId="2" borderId="17" xfId="0" applyNumberFormat="1" applyFont="1" applyFill="1" applyBorder="1" applyAlignment="1" applyProtection="1">
      <alignment horizontal="center"/>
      <protection hidden="1"/>
    </xf>
    <xf numFmtId="2" fontId="2" fillId="4" borderId="0" xfId="0" applyNumberFormat="1" applyFont="1" applyFill="1" applyBorder="1" applyAlignment="1" applyProtection="1">
      <alignment horizontal="center"/>
      <protection hidden="1"/>
    </xf>
    <xf numFmtId="1" fontId="2" fillId="2" borderId="18" xfId="0" applyNumberFormat="1" applyFont="1" applyFill="1" applyBorder="1" applyAlignment="1" applyProtection="1">
      <alignment horizontal="center"/>
      <protection hidden="1"/>
    </xf>
    <xf numFmtId="2" fontId="2" fillId="4" borderId="8" xfId="0" applyNumberFormat="1" applyFont="1" applyFill="1" applyBorder="1" applyAlignment="1" applyProtection="1">
      <alignment horizontal="center"/>
      <protection hidden="1"/>
    </xf>
    <xf numFmtId="1" fontId="2" fillId="7" borderId="19" xfId="0" applyNumberFormat="1" applyFont="1" applyFill="1" applyBorder="1" applyAlignment="1" applyProtection="1">
      <alignment horizontal="center"/>
      <protection hidden="1"/>
    </xf>
    <xf numFmtId="2" fontId="2" fillId="4" borderId="7" xfId="0" applyNumberFormat="1" applyFont="1" applyFill="1" applyBorder="1" applyAlignment="1" applyProtection="1">
      <alignment horizontal="center"/>
      <protection hidden="1"/>
    </xf>
    <xf numFmtId="1" fontId="2" fillId="7" borderId="18" xfId="0" applyNumberFormat="1" applyFont="1" applyFill="1" applyBorder="1" applyAlignment="1" applyProtection="1">
      <alignment horizontal="center"/>
      <protection hidden="1"/>
    </xf>
    <xf numFmtId="1" fontId="2" fillId="3" borderId="19" xfId="0" applyNumberFormat="1" applyFont="1" applyFill="1" applyBorder="1" applyAlignment="1" applyProtection="1">
      <alignment horizontal="center"/>
      <protection hidden="1"/>
    </xf>
    <xf numFmtId="1" fontId="2" fillId="3" borderId="17" xfId="0" applyNumberFormat="1" applyFont="1" applyFill="1" applyBorder="1" applyAlignment="1" applyProtection="1">
      <alignment horizontal="center"/>
      <protection hidden="1"/>
    </xf>
    <xf numFmtId="1" fontId="2" fillId="3" borderId="18" xfId="0" applyNumberFormat="1" applyFont="1" applyFill="1" applyBorder="1" applyAlignment="1" applyProtection="1">
      <alignment horizontal="center"/>
      <protection hidden="1"/>
    </xf>
    <xf numFmtId="1" fontId="2" fillId="4" borderId="8" xfId="0" applyNumberFormat="1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 customBuiltin="1"/>
  </cellStyles>
  <dxfs count="0"/>
  <tableStyles count="0" defaultTableStyle="TableStyleMedium9" defaultPivotStyle="PivotStyleLight16"/>
  <colors>
    <mruColors>
      <color rgb="FFFFCC66"/>
      <color rgb="FFFFFF99"/>
      <color rgb="FFC35D09"/>
      <color rgb="FFB45608"/>
      <color rgb="FF04BC30"/>
      <color rgb="FF00C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Koszt</a:t>
            </a:r>
            <a:r>
              <a:rPr lang="pl-PL" sz="1400"/>
              <a:t>y </a:t>
            </a:r>
            <a:r>
              <a:rPr lang="en-US" sz="1400"/>
              <a:t>ogrzewania </a:t>
            </a:r>
            <a:endParaRPr lang="pl-PL" sz="1400"/>
          </a:p>
          <a:p>
            <a:pPr>
              <a:defRPr/>
            </a:pPr>
            <a:r>
              <a:rPr lang="en-US" sz="1400" b="0"/>
              <a:t>zł brutto/rok</a:t>
            </a:r>
          </a:p>
        </c:rich>
      </c:tx>
      <c:layout>
        <c:manualLayout>
          <c:xMode val="edge"/>
          <c:yMode val="edge"/>
          <c:x val="0.42016759864732589"/>
          <c:y val="7.02279130794098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74717511494301"/>
          <c:y val="0.10311683367223839"/>
          <c:w val="0.70582951165276664"/>
          <c:h val="0.84073440035031621"/>
        </c:manualLayout>
      </c:layout>
      <c:barChart>
        <c:barDir val="bar"/>
        <c:grouping val="clustered"/>
        <c:varyColors val="0"/>
        <c:ser>
          <c:idx val="1"/>
          <c:order val="0"/>
          <c:tx>
            <c:v>Koszt ogrzewania zł brutto/rok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64-4EE9-9D47-455E5758D44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064-4EE9-9D47-455E5758D44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064-4EE9-9D47-455E5758D4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064-4EE9-9D47-455E5758D4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064-4EE9-9D47-455E5758D4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064-4EE9-9D47-455E5758D449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064-4EE9-9D47-455E5758D449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064-4EE9-9D47-455E5758D449}"/>
              </c:ext>
            </c:extLst>
          </c:dPt>
          <c:dPt>
            <c:idx val="8"/>
            <c:invertIfNegative val="0"/>
            <c:bubble3D val="0"/>
            <c:spPr>
              <a:solidFill>
                <a:srgbClr val="FFCC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064-4EE9-9D47-455E5758D44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064-4EE9-9D47-455E5758D4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064-4EE9-9D47-455E5758D449}"/>
              </c:ext>
            </c:extLst>
          </c:dPt>
          <c:dPt>
            <c:idx val="11"/>
            <c:invertIfNegative val="0"/>
            <c:bubble3D val="0"/>
            <c:spPr>
              <a:solidFill>
                <a:srgbClr val="C35D09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064-4EE9-9D47-455E5758D449}"/>
              </c:ext>
            </c:extLst>
          </c:dPt>
          <c:dPt>
            <c:idx val="12"/>
            <c:invertIfNegative val="0"/>
            <c:bubble3D val="0"/>
            <c:spPr>
              <a:solidFill>
                <a:srgbClr val="C35D09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064-4EE9-9D47-455E5758D449}"/>
              </c:ext>
            </c:extLst>
          </c:dPt>
          <c:dPt>
            <c:idx val="13"/>
            <c:invertIfNegative val="0"/>
            <c:bubble3D val="0"/>
            <c:spPr>
              <a:solidFill>
                <a:srgbClr val="04BC3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064-4EE9-9D47-455E5758D449}"/>
              </c:ext>
            </c:extLst>
          </c:dPt>
          <c:dPt>
            <c:idx val="14"/>
            <c:invertIfNegative val="0"/>
            <c:bubble3D val="0"/>
            <c:spPr>
              <a:solidFill>
                <a:srgbClr val="04BC3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064-4EE9-9D47-455E5758D44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064-4EE9-9D47-455E5758D449}"/>
              </c:ext>
            </c:extLst>
          </c:dPt>
          <c:dLbls>
            <c:numFmt formatCode="#,##0\ &quot;zł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'Koszty ogrzewania'!$B$28:$C$43</c:f>
              <c:multiLvlStrCache>
                <c:ptCount val="16"/>
                <c:lvl>
                  <c:pt idx="0">
                    <c:v>kocioł starego typu</c:v>
                  </c:pt>
                  <c:pt idx="1">
                    <c:v>kocioł tradycyjny</c:v>
                  </c:pt>
                  <c:pt idx="2">
                    <c:v>kocioł kondensacyjny</c:v>
                  </c:pt>
                  <c:pt idx="3">
                    <c:v>kocioł kondensacyjny+solary</c:v>
                  </c:pt>
                  <c:pt idx="4">
                    <c:v>kocioł kondensacyjny</c:v>
                  </c:pt>
                  <c:pt idx="5">
                    <c:v>kocioł kondensacyjny+solary</c:v>
                  </c:pt>
                  <c:pt idx="6">
                    <c:v>kocioł tradycyjny</c:v>
                  </c:pt>
                  <c:pt idx="7">
                    <c:v>kocioł kondensacyjny</c:v>
                  </c:pt>
                  <c:pt idx="8">
                    <c:v>kocioł kondensacyjny+solary</c:v>
                  </c:pt>
                  <c:pt idx="9">
                    <c:v>kocioł miałowy+grzałka elektryczna</c:v>
                  </c:pt>
                  <c:pt idx="10">
                    <c:v>z podajnikiem, "ekogroszek"</c:v>
                  </c:pt>
                  <c:pt idx="11">
                    <c:v>kocioł na drewno - buk</c:v>
                  </c:pt>
                  <c:pt idx="12">
                    <c:v>kocioł na pelet</c:v>
                  </c:pt>
                  <c:pt idx="13">
                    <c:v>pompa ciepła - gruntowa</c:v>
                  </c:pt>
                  <c:pt idx="14">
                    <c:v>pompa ciepła - powietrzna</c:v>
                  </c:pt>
                  <c:pt idx="15">
                    <c:v>grzejniki akumulacyjne</c:v>
                  </c:pt>
                </c:lvl>
                <c:lvl>
                  <c:pt idx="0">
                    <c:v>Gaz ziemny</c:v>
                  </c:pt>
                  <c:pt idx="4">
                    <c:v>LPG</c:v>
                  </c:pt>
                  <c:pt idx="6">
                    <c:v>Olej opałowy</c:v>
                  </c:pt>
                  <c:pt idx="9">
                    <c:v>Węgiel </c:v>
                  </c:pt>
                  <c:pt idx="11">
                    <c:v>Drewno</c:v>
                  </c:pt>
                  <c:pt idx="13">
                    <c:v>Energia elektr.</c:v>
                  </c:pt>
                </c:lvl>
              </c:multiLvlStrCache>
            </c:multiLvlStrRef>
          </c:cat>
          <c:val>
            <c:numRef>
              <c:f>'Koszty ogrzewania'!$J$28:$J$43</c:f>
              <c:numCache>
                <c:formatCode>0</c:formatCode>
                <c:ptCount val="16"/>
                <c:pt idx="0">
                  <c:v>5013.0557137893475</c:v>
                </c:pt>
                <c:pt idx="1">
                  <c:v>4215.1615760618151</c:v>
                </c:pt>
                <c:pt idx="2">
                  <c:v>3534.9056765889827</c:v>
                </c:pt>
                <c:pt idx="3">
                  <c:v>3033.1576279220053</c:v>
                </c:pt>
                <c:pt idx="4">
                  <c:v>3842.9409563409563</c:v>
                </c:pt>
                <c:pt idx="5">
                  <c:v>3209.3459255481898</c:v>
                </c:pt>
                <c:pt idx="6">
                  <c:v>5202.0621489143605</c:v>
                </c:pt>
                <c:pt idx="7">
                  <c:v>4551.8043803000655</c:v>
                </c:pt>
                <c:pt idx="8">
                  <c:v>3795.369748632133</c:v>
                </c:pt>
                <c:pt idx="9">
                  <c:v>3187.7402765517245</c:v>
                </c:pt>
                <c:pt idx="10">
                  <c:v>2321.2356934441364</c:v>
                </c:pt>
                <c:pt idx="11">
                  <c:v>2929.010513639209</c:v>
                </c:pt>
                <c:pt idx="12">
                  <c:v>2489.5011447811448</c:v>
                </c:pt>
                <c:pt idx="13">
                  <c:v>2083.712458181818</c:v>
                </c:pt>
                <c:pt idx="14">
                  <c:v>2477.9283286486484</c:v>
                </c:pt>
                <c:pt idx="15">
                  <c:v>5175.6728800000001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B064-4EE9-9D47-455E5758D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162466816"/>
        <c:axId val="154909440"/>
      </c:barChart>
      <c:catAx>
        <c:axId val="1624668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49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>
              <a:defRPr b="0" i="0" spc="70" baseline="0"/>
            </a:pPr>
            <a:endParaRPr lang="pl-PL"/>
          </a:p>
        </c:txPr>
        <c:crossAx val="154909440"/>
        <c:crosses val="autoZero"/>
        <c:auto val="0"/>
        <c:lblAlgn val="ctr"/>
        <c:lblOffset val="100"/>
        <c:noMultiLvlLbl val="0"/>
      </c:catAx>
      <c:valAx>
        <c:axId val="1549094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none"/>
        <c:minorTickMark val="none"/>
        <c:tickLblPos val="nextTo"/>
        <c:spPr>
          <a:ln w="349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 b="1" i="0" spc="70" baseline="0"/>
            </a:pPr>
            <a:endParaRPr lang="pl-PL"/>
          </a:p>
        </c:txPr>
        <c:crossAx val="1624668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15875">
      <a:noFill/>
    </a:ln>
  </c:spPr>
  <c:txPr>
    <a:bodyPr/>
    <a:lstStyle/>
    <a:p>
      <a:pPr>
        <a:defRPr b="1" i="0" baseline="0">
          <a:latin typeface="Arial" pitchFamily="34" charset="0"/>
        </a:defRPr>
      </a:pPr>
      <a:endParaRPr lang="pl-P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pl-PL" sz="1400"/>
              <a:t>Cena 1 kWh ciepła</a:t>
            </a:r>
          </a:p>
          <a:p>
            <a:pPr>
              <a:defRPr/>
            </a:pPr>
            <a:r>
              <a:rPr lang="en-US" sz="1400" b="0"/>
              <a:t>zł brutto</a:t>
            </a:r>
          </a:p>
        </c:rich>
      </c:tx>
      <c:layout>
        <c:manualLayout>
          <c:xMode val="edge"/>
          <c:yMode val="edge"/>
          <c:x val="0.42016759864732589"/>
          <c:y val="7.02279130794098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74717511494295"/>
          <c:y val="9.784974019128273E-2"/>
          <c:w val="0.70582951165276664"/>
          <c:h val="0.84073440035031632"/>
        </c:manualLayout>
      </c:layout>
      <c:barChart>
        <c:barDir val="bar"/>
        <c:grouping val="clustered"/>
        <c:varyColors val="0"/>
        <c:ser>
          <c:idx val="1"/>
          <c:order val="0"/>
          <c:tx>
            <c:v>Cena 1 kWg ciepła zł brutto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F2-466F-A1F3-E2CC28B368C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F2-466F-A1F3-E2CC28B368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F2-466F-A1F3-E2CC28B368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F2-466F-A1F3-E2CC28B368C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9F2-466F-A1F3-E2CC28B368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9F2-466F-A1F3-E2CC28B368C9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9F2-466F-A1F3-E2CC28B368C9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9F2-466F-A1F3-E2CC28B368C9}"/>
              </c:ext>
            </c:extLst>
          </c:dPt>
          <c:dPt>
            <c:idx val="8"/>
            <c:invertIfNegative val="0"/>
            <c:bubble3D val="0"/>
            <c:spPr>
              <a:solidFill>
                <a:srgbClr val="FFCC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9F2-466F-A1F3-E2CC28B368C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9F2-466F-A1F3-E2CC28B368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9F2-466F-A1F3-E2CC28B368C9}"/>
              </c:ext>
            </c:extLst>
          </c:dPt>
          <c:dPt>
            <c:idx val="11"/>
            <c:invertIfNegative val="0"/>
            <c:bubble3D val="0"/>
            <c:spPr>
              <a:solidFill>
                <a:srgbClr val="C35D09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9F2-466F-A1F3-E2CC28B368C9}"/>
              </c:ext>
            </c:extLst>
          </c:dPt>
          <c:dPt>
            <c:idx val="12"/>
            <c:invertIfNegative val="0"/>
            <c:bubble3D val="0"/>
            <c:spPr>
              <a:solidFill>
                <a:srgbClr val="B45608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9F2-466F-A1F3-E2CC28B368C9}"/>
              </c:ext>
            </c:extLst>
          </c:dPt>
          <c:dPt>
            <c:idx val="13"/>
            <c:invertIfNegative val="0"/>
            <c:bubble3D val="0"/>
            <c:spPr>
              <a:solidFill>
                <a:srgbClr val="04BC3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9F2-466F-A1F3-E2CC28B368C9}"/>
              </c:ext>
            </c:extLst>
          </c:dPt>
          <c:dPt>
            <c:idx val="14"/>
            <c:invertIfNegative val="0"/>
            <c:bubble3D val="0"/>
            <c:spPr>
              <a:solidFill>
                <a:srgbClr val="04BC3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9F2-466F-A1F3-E2CC28B368C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9F2-466F-A1F3-E2CC28B368C9}"/>
              </c:ext>
            </c:extLst>
          </c:dPt>
          <c:dLbls>
            <c:numFmt formatCode="#,##0.00\ &quot;zł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'Koszty ogrzewania'!$B$28:$C$43</c:f>
              <c:multiLvlStrCache>
                <c:ptCount val="16"/>
                <c:lvl>
                  <c:pt idx="0">
                    <c:v>kocioł starego typu</c:v>
                  </c:pt>
                  <c:pt idx="1">
                    <c:v>kocioł tradycyjny</c:v>
                  </c:pt>
                  <c:pt idx="2">
                    <c:v>kocioł kondensacyjny</c:v>
                  </c:pt>
                  <c:pt idx="3">
                    <c:v>kocioł kondensacyjny+solary</c:v>
                  </c:pt>
                  <c:pt idx="4">
                    <c:v>kocioł kondensacyjny</c:v>
                  </c:pt>
                  <c:pt idx="5">
                    <c:v>kocioł kondensacyjny+solary</c:v>
                  </c:pt>
                  <c:pt idx="6">
                    <c:v>kocioł tradycyjny</c:v>
                  </c:pt>
                  <c:pt idx="7">
                    <c:v>kocioł kondensacyjny</c:v>
                  </c:pt>
                  <c:pt idx="8">
                    <c:v>kocioł kondensacyjny+solary</c:v>
                  </c:pt>
                  <c:pt idx="9">
                    <c:v>kocioł miałowy+grzałka elektryczna</c:v>
                  </c:pt>
                  <c:pt idx="10">
                    <c:v>z podajnikiem, "ekogroszek"</c:v>
                  </c:pt>
                  <c:pt idx="11">
                    <c:v>kocioł na drewno - buk</c:v>
                  </c:pt>
                  <c:pt idx="12">
                    <c:v>kocioł na pelet</c:v>
                  </c:pt>
                  <c:pt idx="13">
                    <c:v>pompa ciepła - gruntowa</c:v>
                  </c:pt>
                  <c:pt idx="14">
                    <c:v>pompa ciepła - powietrzna</c:v>
                  </c:pt>
                  <c:pt idx="15">
                    <c:v>grzejniki akumulacyjne</c:v>
                  </c:pt>
                </c:lvl>
                <c:lvl>
                  <c:pt idx="0">
                    <c:v>Gaz ziemny</c:v>
                  </c:pt>
                  <c:pt idx="4">
                    <c:v>LPG</c:v>
                  </c:pt>
                  <c:pt idx="6">
                    <c:v>Olej opałowy</c:v>
                  </c:pt>
                  <c:pt idx="9">
                    <c:v>Węgiel </c:v>
                  </c:pt>
                  <c:pt idx="11">
                    <c:v>Drewno</c:v>
                  </c:pt>
                  <c:pt idx="13">
                    <c:v>Energia elektr.</c:v>
                  </c:pt>
                </c:lvl>
              </c:multiLvlStrCache>
            </c:multiLvlStrRef>
          </c:cat>
          <c:val>
            <c:numRef>
              <c:f>'Koszty ogrzewania'!$K$28:$K$43</c:f>
              <c:numCache>
                <c:formatCode>0.00</c:formatCode>
                <c:ptCount val="16"/>
                <c:pt idx="0">
                  <c:v>0.33900316741545528</c:v>
                </c:pt>
                <c:pt idx="1">
                  <c:v>0.28504632843442668</c:v>
                </c:pt>
                <c:pt idx="2">
                  <c:v>0.23904466443137032</c:v>
                </c:pt>
                <c:pt idx="3">
                  <c:v>0.24097437370336663</c:v>
                </c:pt>
                <c:pt idx="4">
                  <c:v>0.25987525987525989</c:v>
                </c:pt>
                <c:pt idx="5">
                  <c:v>0.25497195308516063</c:v>
                </c:pt>
                <c:pt idx="6">
                  <c:v>0.35178454943621285</c:v>
                </c:pt>
                <c:pt idx="7">
                  <c:v>0.30781148075668624</c:v>
                </c:pt>
                <c:pt idx="8">
                  <c:v>0.30152961380246812</c:v>
                </c:pt>
                <c:pt idx="9">
                  <c:v>0.17241379310344832</c:v>
                </c:pt>
                <c:pt idx="10">
                  <c:v>0.15697137580794088</c:v>
                </c:pt>
                <c:pt idx="11">
                  <c:v>0.19807157514439419</c:v>
                </c:pt>
                <c:pt idx="12">
                  <c:v>0.16835016835016833</c:v>
                </c:pt>
                <c:pt idx="13">
                  <c:v>0.1409090909090909</c:v>
                </c:pt>
                <c:pt idx="14">
                  <c:v>0.16756756756756755</c:v>
                </c:pt>
                <c:pt idx="15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39F2-466F-A1F3-E2CC28B3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163594240"/>
        <c:axId val="154908864"/>
      </c:barChart>
      <c:catAx>
        <c:axId val="1635942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49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>
              <a:defRPr b="0" i="0" spc="70" baseline="0"/>
            </a:pPr>
            <a:endParaRPr lang="pl-PL"/>
          </a:p>
        </c:txPr>
        <c:crossAx val="154908864"/>
        <c:crosses val="autoZero"/>
        <c:auto val="0"/>
        <c:lblAlgn val="ctr"/>
        <c:lblOffset val="100"/>
        <c:noMultiLvlLbl val="0"/>
      </c:catAx>
      <c:valAx>
        <c:axId val="15490886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majorTickMark val="none"/>
        <c:minorTickMark val="none"/>
        <c:tickLblPos val="nextTo"/>
        <c:spPr>
          <a:ln w="349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 b="1" i="0" spc="70" baseline="0"/>
            </a:pPr>
            <a:endParaRPr lang="pl-PL"/>
          </a:p>
        </c:txPr>
        <c:crossAx val="1635942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15875">
      <a:noFill/>
    </a:ln>
  </c:spPr>
  <c:txPr>
    <a:bodyPr/>
    <a:lstStyle/>
    <a:p>
      <a:pPr>
        <a:defRPr b="1" i="0" baseline="0">
          <a:latin typeface="Arial" pitchFamily="34" charset="0"/>
        </a:defRPr>
      </a:pPr>
      <a:endParaRPr lang="pl-PL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5875">
              <a:solidFill>
                <a:srgbClr val="1F497D">
                  <a:lumMod val="60000"/>
                  <a:lumOff val="40000"/>
                  <a:alpha val="90000"/>
                </a:srgbClr>
              </a:solidFill>
            </a:ln>
            <a:effectLst>
              <a:outerShdw blurRad="63500" dist="38100" algn="l" rotWithShape="0">
                <a:prstClr val="black">
                  <a:alpha val="37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dLbls>
            <c:numFmt formatCode="#,##0.00\ &quot;zł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'Symulator - gaz ziemny'!$B$22:$B$33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'Symulator - gaz ziemny'!$J$22:$J$33</c:f>
              <c:numCache>
                <c:formatCode>0.00</c:formatCode>
                <c:ptCount val="12"/>
                <c:pt idx="0">
                  <c:v>619.18881455190672</c:v>
                </c:pt>
                <c:pt idx="1">
                  <c:v>527.89131225423728</c:v>
                </c:pt>
                <c:pt idx="2">
                  <c:v>436.59380995656778</c:v>
                </c:pt>
                <c:pt idx="3">
                  <c:v>223.56630459533895</c:v>
                </c:pt>
                <c:pt idx="4">
                  <c:v>132.26880229766948</c:v>
                </c:pt>
                <c:pt idx="5">
                  <c:v>71.403800765889841</c:v>
                </c:pt>
                <c:pt idx="6">
                  <c:v>71.403800765889841</c:v>
                </c:pt>
                <c:pt idx="7">
                  <c:v>71.403800765889841</c:v>
                </c:pt>
                <c:pt idx="8">
                  <c:v>101.83630153177967</c:v>
                </c:pt>
                <c:pt idx="9">
                  <c:v>284.43130612711866</c:v>
                </c:pt>
                <c:pt idx="10">
                  <c:v>406.16130919067791</c:v>
                </c:pt>
                <c:pt idx="11">
                  <c:v>588.7563137860169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93-4BFD-BA77-774B1E431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94080"/>
        <c:axId val="154907136"/>
      </c:barChart>
      <c:catAx>
        <c:axId val="1636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ysClr val="windowText" lastClr="000000">
                <a:lumMod val="65000"/>
                <a:lumOff val="35000"/>
              </a:sysClr>
            </a:solidFill>
          </a:ln>
        </c:spPr>
        <c:txPr>
          <a:bodyPr/>
          <a:lstStyle/>
          <a:p>
            <a:pPr>
              <a:defRPr sz="1080" b="1" baseline="0"/>
            </a:pPr>
            <a:endParaRPr lang="pl-PL"/>
          </a:p>
        </c:txPr>
        <c:crossAx val="154907136"/>
        <c:crosses val="autoZero"/>
        <c:auto val="1"/>
        <c:lblAlgn val="ctr"/>
        <c:lblOffset val="80"/>
        <c:noMultiLvlLbl val="0"/>
      </c:catAx>
      <c:valAx>
        <c:axId val="154907136"/>
        <c:scaling>
          <c:orientation val="minMax"/>
        </c:scaling>
        <c:delete val="0"/>
        <c:axPos val="l"/>
        <c:majorGridlines>
          <c:spPr>
            <a:ln w="15875"/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chemeClr val="tx1">
                <a:lumMod val="65000"/>
                <a:lumOff val="35000"/>
              </a:schemeClr>
            </a:solidFill>
          </a:ln>
        </c:spPr>
        <c:txPr>
          <a:bodyPr/>
          <a:lstStyle/>
          <a:p>
            <a:pPr>
              <a:defRPr sz="1080" b="1" baseline="0"/>
            </a:pPr>
            <a:endParaRPr lang="pl-PL"/>
          </a:p>
        </c:txPr>
        <c:crossAx val="1636940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9" tint="-0.499984740745262"/>
  </sheetPr>
  <sheetViews>
    <sheetView zoomScale="80" workbookViewId="0"/>
  </sheetViews>
  <sheetProtection algorithmName="SHA-512" hashValue="SLp0EhcZdU0hwY3zUapZq8+2VEtYE/n7OtJYIsJyEfErPLtBmWkE1sWWArr6RMknsHLEu4Y4RQo5VoOnI5XtBw==" saltValue="D0SLlog7iZDPod2+BH6kpQ==" spinCount="100000" content="1" objects="1"/>
  <pageMargins left="0.31496062992125984" right="0.51181102362204722" top="0.15748031496062992" bottom="0.15748031496062992" header="0.15748031496062992" footer="0.19685039370078741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9" tint="-0.499984740745262"/>
  </sheetPr>
  <sheetViews>
    <sheetView zoomScale="80" workbookViewId="0"/>
  </sheetViews>
  <sheetProtection algorithmName="SHA-512" hashValue="Uh4tANsDb1DWC5fvVJmfhgw4y8MQ+dsgALiXy1sy4AQYihzUgt1vlW2MNf7gkInlOqUizAGlTnX1b8KLXpOkgw==" saltValue="vGGCjsJ7tr+UUEsD7jwIHQ==" spinCount="100000" content="1" objects="1"/>
  <pageMargins left="0.31496062992125984" right="0.51181102362204722" top="0.15748031496062992" bottom="0.15748031496062992" header="0.15748031496062992" footer="0.19685039370078741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893133</xdr:colOff>
      <xdr:row>31</xdr:row>
      <xdr:rowOff>122116</xdr:rowOff>
    </xdr:from>
    <xdr:to>
      <xdr:col>1</xdr:col>
      <xdr:colOff>1083646</xdr:colOff>
      <xdr:row>32</xdr:row>
      <xdr:rowOff>153303</xdr:rowOff>
    </xdr:to>
    <xdr:pic>
      <xdr:nvPicPr>
        <xdr:cNvPr id="9" name="Obraz 8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5383" y="5244449"/>
          <a:ext cx="190513" cy="189937"/>
        </a:xfrm>
        <a:prstGeom prst="rect">
          <a:avLst/>
        </a:prstGeom>
      </xdr:spPr>
    </xdr:pic>
    <xdr:clientData/>
  </xdr:twoCellAnchor>
  <xdr:twoCellAnchor>
    <xdr:from>
      <xdr:col>13</xdr:col>
      <xdr:colOff>238125</xdr:colOff>
      <xdr:row>10</xdr:row>
      <xdr:rowOff>9526</xdr:rowOff>
    </xdr:from>
    <xdr:to>
      <xdr:col>13</xdr:col>
      <xdr:colOff>704850</xdr:colOff>
      <xdr:row>10</xdr:row>
      <xdr:rowOff>123826</xdr:rowOff>
    </xdr:to>
    <xdr:sp macro="" textlink="">
      <xdr:nvSpPr>
        <xdr:cNvPr id="2" name="Strzałka w prawo 1"/>
        <xdr:cNvSpPr/>
      </xdr:nvSpPr>
      <xdr:spPr>
        <a:xfrm>
          <a:off x="9715500" y="1685926"/>
          <a:ext cx="46672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13</xdr:col>
      <xdr:colOff>112183</xdr:colOff>
      <xdr:row>40</xdr:row>
      <xdr:rowOff>19050</xdr:rowOff>
    </xdr:from>
    <xdr:to>
      <xdr:col>13</xdr:col>
      <xdr:colOff>569383</xdr:colOff>
      <xdr:row>40</xdr:row>
      <xdr:rowOff>133350</xdr:rowOff>
    </xdr:to>
    <xdr:sp macro="" textlink="">
      <xdr:nvSpPr>
        <xdr:cNvPr id="3" name="Strzałka w prawo 2"/>
        <xdr:cNvSpPr/>
      </xdr:nvSpPr>
      <xdr:spPr>
        <a:xfrm>
          <a:off x="9721850" y="6612467"/>
          <a:ext cx="457200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13</xdr:col>
      <xdr:colOff>238125</xdr:colOff>
      <xdr:row>15</xdr:row>
      <xdr:rowOff>38101</xdr:rowOff>
    </xdr:from>
    <xdr:to>
      <xdr:col>13</xdr:col>
      <xdr:colOff>685800</xdr:colOff>
      <xdr:row>15</xdr:row>
      <xdr:rowOff>152401</xdr:rowOff>
    </xdr:to>
    <xdr:sp macro="" textlink="">
      <xdr:nvSpPr>
        <xdr:cNvPr id="4" name="Strzałka w prawo 3"/>
        <xdr:cNvSpPr/>
      </xdr:nvSpPr>
      <xdr:spPr>
        <a:xfrm>
          <a:off x="9858375" y="2621757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13</xdr:col>
      <xdr:colOff>232840</xdr:colOff>
      <xdr:row>12</xdr:row>
      <xdr:rowOff>13749</xdr:rowOff>
    </xdr:from>
    <xdr:to>
      <xdr:col>13</xdr:col>
      <xdr:colOff>680515</xdr:colOff>
      <xdr:row>12</xdr:row>
      <xdr:rowOff>128049</xdr:rowOff>
    </xdr:to>
    <xdr:sp macro="" textlink="">
      <xdr:nvSpPr>
        <xdr:cNvPr id="5" name="Strzałka w prawo 4"/>
        <xdr:cNvSpPr/>
      </xdr:nvSpPr>
      <xdr:spPr>
        <a:xfrm>
          <a:off x="9514423" y="2024582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13</xdr:col>
      <xdr:colOff>121704</xdr:colOff>
      <xdr:row>27</xdr:row>
      <xdr:rowOff>21167</xdr:rowOff>
    </xdr:from>
    <xdr:to>
      <xdr:col>13</xdr:col>
      <xdr:colOff>569379</xdr:colOff>
      <xdr:row>27</xdr:row>
      <xdr:rowOff>135467</xdr:rowOff>
    </xdr:to>
    <xdr:sp macro="" textlink="">
      <xdr:nvSpPr>
        <xdr:cNvPr id="6" name="Strzałka w prawo 5"/>
        <xdr:cNvSpPr/>
      </xdr:nvSpPr>
      <xdr:spPr>
        <a:xfrm>
          <a:off x="9731371" y="4497917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17</xdr:col>
      <xdr:colOff>23810</xdr:colOff>
      <xdr:row>36</xdr:row>
      <xdr:rowOff>33318</xdr:rowOff>
    </xdr:from>
    <xdr:to>
      <xdr:col>17</xdr:col>
      <xdr:colOff>583403</xdr:colOff>
      <xdr:row>36</xdr:row>
      <xdr:rowOff>154782</xdr:rowOff>
    </xdr:to>
    <xdr:sp macro="" textlink="">
      <xdr:nvSpPr>
        <xdr:cNvPr id="7" name="Strzałka w prawo 6"/>
        <xdr:cNvSpPr/>
      </xdr:nvSpPr>
      <xdr:spPr>
        <a:xfrm>
          <a:off x="15251904" y="5998349"/>
          <a:ext cx="559593" cy="121464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 editAs="oneCell">
    <xdr:from>
      <xdr:col>1</xdr:col>
      <xdr:colOff>890995</xdr:colOff>
      <xdr:row>34</xdr:row>
      <xdr:rowOff>114557</xdr:rowOff>
    </xdr:from>
    <xdr:to>
      <xdr:col>1</xdr:col>
      <xdr:colOff>1081508</xdr:colOff>
      <xdr:row>35</xdr:row>
      <xdr:rowOff>145743</xdr:rowOff>
    </xdr:to>
    <xdr:pic>
      <xdr:nvPicPr>
        <xdr:cNvPr id="10" name="Obraz 9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3245" y="5723724"/>
          <a:ext cx="190513" cy="189936"/>
        </a:xfrm>
        <a:prstGeom prst="rect">
          <a:avLst/>
        </a:prstGeom>
      </xdr:spPr>
    </xdr:pic>
    <xdr:clientData/>
  </xdr:twoCellAnchor>
  <xdr:twoCellAnchor editAs="oneCell">
    <xdr:from>
      <xdr:col>1</xdr:col>
      <xdr:colOff>887747</xdr:colOff>
      <xdr:row>29</xdr:row>
      <xdr:rowOff>116733</xdr:rowOff>
    </xdr:from>
    <xdr:to>
      <xdr:col>1</xdr:col>
      <xdr:colOff>1078260</xdr:colOff>
      <xdr:row>30</xdr:row>
      <xdr:rowOff>147921</xdr:rowOff>
    </xdr:to>
    <xdr:pic>
      <xdr:nvPicPr>
        <xdr:cNvPr id="11" name="Obraz 10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997" y="4910983"/>
          <a:ext cx="190513" cy="189938"/>
        </a:xfrm>
        <a:prstGeom prst="rect">
          <a:avLst/>
        </a:prstGeom>
      </xdr:spPr>
    </xdr:pic>
    <xdr:clientData/>
  </xdr:twoCellAnchor>
  <xdr:twoCellAnchor editAs="oneCell">
    <xdr:from>
      <xdr:col>9</xdr:col>
      <xdr:colOff>16954</xdr:colOff>
      <xdr:row>31</xdr:row>
      <xdr:rowOff>156387</xdr:rowOff>
    </xdr:from>
    <xdr:to>
      <xdr:col>9</xdr:col>
      <xdr:colOff>169334</xdr:colOff>
      <xdr:row>32</xdr:row>
      <xdr:rowOff>148497</xdr:rowOff>
    </xdr:to>
    <xdr:pic>
      <xdr:nvPicPr>
        <xdr:cNvPr id="12" name="Obraz 11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E7D1"/>
            </a:clrFrom>
            <a:clrTo>
              <a:srgbClr val="FFE7D1">
                <a:alpha val="0"/>
              </a:srgbClr>
            </a:clrTo>
          </a:clrChange>
        </a:blip>
        <a:stretch>
          <a:fillRect/>
        </a:stretch>
      </xdr:blipFill>
      <xdr:spPr>
        <a:xfrm>
          <a:off x="6462204" y="5405720"/>
          <a:ext cx="152380" cy="156152"/>
        </a:xfrm>
        <a:prstGeom prst="rect">
          <a:avLst/>
        </a:prstGeom>
      </xdr:spPr>
    </xdr:pic>
    <xdr:clientData/>
  </xdr:twoCellAnchor>
  <xdr:twoCellAnchor editAs="oneCell">
    <xdr:from>
      <xdr:col>9</xdr:col>
      <xdr:colOff>20106</xdr:colOff>
      <xdr:row>34</xdr:row>
      <xdr:rowOff>157218</xdr:rowOff>
    </xdr:from>
    <xdr:to>
      <xdr:col>9</xdr:col>
      <xdr:colOff>174625</xdr:colOff>
      <xdr:row>35</xdr:row>
      <xdr:rowOff>151519</xdr:rowOff>
    </xdr:to>
    <xdr:pic>
      <xdr:nvPicPr>
        <xdr:cNvPr id="13" name="Obraz 12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5356" y="5903968"/>
          <a:ext cx="154519" cy="158343"/>
        </a:xfrm>
        <a:prstGeom prst="rect">
          <a:avLst/>
        </a:prstGeom>
      </xdr:spPr>
    </xdr:pic>
    <xdr:clientData/>
  </xdr:twoCellAnchor>
  <xdr:twoCellAnchor editAs="oneCell">
    <xdr:from>
      <xdr:col>9</xdr:col>
      <xdr:colOff>16859</xdr:colOff>
      <xdr:row>29</xdr:row>
      <xdr:rowOff>153458</xdr:rowOff>
    </xdr:from>
    <xdr:to>
      <xdr:col>9</xdr:col>
      <xdr:colOff>177171</xdr:colOff>
      <xdr:row>30</xdr:row>
      <xdr:rowOff>153697</xdr:rowOff>
    </xdr:to>
    <xdr:pic>
      <xdr:nvPicPr>
        <xdr:cNvPr id="14" name="Obraz 13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2109" y="5069416"/>
          <a:ext cx="160312" cy="164281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1047749</xdr:colOff>
      <xdr:row>11</xdr:row>
      <xdr:rowOff>116417</xdr:rowOff>
    </xdr:from>
    <xdr:to>
      <xdr:col>10</xdr:col>
      <xdr:colOff>21179</xdr:colOff>
      <xdr:row>12</xdr:row>
      <xdr:rowOff>147605</xdr:rowOff>
    </xdr:to>
    <xdr:pic>
      <xdr:nvPicPr>
        <xdr:cNvPr id="15" name="Obraz 14" descr="sloneczk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4166" y="1968500"/>
          <a:ext cx="190513" cy="189938"/>
        </a:xfrm>
        <a:prstGeom prst="rect">
          <a:avLst/>
        </a:prstGeom>
      </xdr:spPr>
    </xdr:pic>
    <xdr:clientData/>
  </xdr:twoCellAnchor>
  <xdr:twoCellAnchor editAs="oneCell">
    <xdr:from>
      <xdr:col>10</xdr:col>
      <xdr:colOff>116417</xdr:colOff>
      <xdr:row>1</xdr:row>
      <xdr:rowOff>63499</xdr:rowOff>
    </xdr:from>
    <xdr:to>
      <xdr:col>12</xdr:col>
      <xdr:colOff>637647</xdr:colOff>
      <xdr:row>3</xdr:row>
      <xdr:rowOff>122607</xdr:rowOff>
    </xdr:to>
    <xdr:pic>
      <xdr:nvPicPr>
        <xdr:cNvPr id="16" name="Obraz 15" descr="Viessmann_MS_006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6417" y="222249"/>
          <a:ext cx="1833563" cy="450691"/>
        </a:xfrm>
        <a:prstGeom prst="rect">
          <a:avLst/>
        </a:prstGeom>
      </xdr:spPr>
    </xdr:pic>
    <xdr:clientData/>
  </xdr:twoCellAnchor>
  <xdr:twoCellAnchor>
    <xdr:from>
      <xdr:col>13</xdr:col>
      <xdr:colOff>104771</xdr:colOff>
      <xdr:row>31</xdr:row>
      <xdr:rowOff>46567</xdr:rowOff>
    </xdr:from>
    <xdr:to>
      <xdr:col>13</xdr:col>
      <xdr:colOff>552446</xdr:colOff>
      <xdr:row>32</xdr:row>
      <xdr:rowOff>2117</xdr:rowOff>
    </xdr:to>
    <xdr:sp macro="" textlink="">
      <xdr:nvSpPr>
        <xdr:cNvPr id="17" name="Strzałka w prawo 16"/>
        <xdr:cNvSpPr/>
      </xdr:nvSpPr>
      <xdr:spPr>
        <a:xfrm>
          <a:off x="9714438" y="5168900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22656" cy="71675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0.98923</cdr:x>
      <cdr:y>0.02634</cdr:y>
    </cdr:from>
    <cdr:to>
      <cdr:x>1</cdr:x>
      <cdr:y>0.96947</cdr:y>
    </cdr:to>
    <cdr:grpSp>
      <cdr:nvGrpSpPr>
        <cdr:cNvPr id="8" name="Grupa 7"/>
        <cdr:cNvGrpSpPr/>
      </cdr:nvGrpSpPr>
      <cdr:grpSpPr>
        <a:xfrm xmlns:a="http://schemas.openxmlformats.org/drawingml/2006/main" flipH="1">
          <a:off x="9716866" y="188794"/>
          <a:ext cx="105790" cy="6759942"/>
          <a:chOff x="271464" y="55373"/>
          <a:chExt cx="1323966" cy="6754996"/>
        </a:xfrm>
      </cdr:grpSpPr>
      <cdr:sp macro="" textlink="">
        <cdr:nvSpPr>
          <cdr:cNvPr id="2" name="pole tekstowe 1"/>
          <cdr:cNvSpPr txBox="1"/>
        </cdr:nvSpPr>
        <cdr:spPr>
          <a:xfrm xmlns:a="http://schemas.openxmlformats.org/drawingml/2006/main">
            <a:off x="1266258" y="55373"/>
            <a:ext cx="329172" cy="122872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vert="vert270" wrap="square" rtlCol="0"/>
          <a:lstStyle xmlns:a="http://schemas.openxmlformats.org/drawingml/2006/main"/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3" name="pole tekstowe 1"/>
          <cdr:cNvSpPr txBox="1"/>
        </cdr:nvSpPr>
        <cdr:spPr>
          <a:xfrm xmlns:a="http://schemas.openxmlformats.org/drawingml/2006/main">
            <a:off x="273843" y="2262187"/>
            <a:ext cx="235745" cy="67865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4" name="pole tekstowe 1"/>
          <cdr:cNvSpPr txBox="1"/>
        </cdr:nvSpPr>
        <cdr:spPr>
          <a:xfrm xmlns:a="http://schemas.openxmlformats.org/drawingml/2006/main">
            <a:off x="271464" y="3178968"/>
            <a:ext cx="342900" cy="67865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5" name="pole tekstowe 1"/>
          <cdr:cNvSpPr txBox="1"/>
        </cdr:nvSpPr>
        <cdr:spPr>
          <a:xfrm xmlns:a="http://schemas.openxmlformats.org/drawingml/2006/main">
            <a:off x="281782" y="4056061"/>
            <a:ext cx="257735" cy="90000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6" name="pole tekstowe 1"/>
          <cdr:cNvSpPr txBox="1"/>
        </cdr:nvSpPr>
        <cdr:spPr>
          <a:xfrm xmlns:a="http://schemas.openxmlformats.org/drawingml/2006/main">
            <a:off x="293689" y="4976813"/>
            <a:ext cx="321468" cy="42068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7" name="pole tekstowe 1"/>
          <cdr:cNvSpPr txBox="1"/>
        </cdr:nvSpPr>
        <cdr:spPr>
          <a:xfrm xmlns:a="http://schemas.openxmlformats.org/drawingml/2006/main">
            <a:off x="290512" y="5453062"/>
            <a:ext cx="329172" cy="135730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0.82536</cdr:x>
      <cdr:y>0.00988</cdr:y>
    </cdr:from>
    <cdr:to>
      <cdr:x>0.98682</cdr:x>
      <cdr:y>0.09876</cdr:y>
    </cdr:to>
    <cdr:sp macro="" textlink="">
      <cdr:nvSpPr>
        <cdr:cNvPr id="9" name="pole tekstowe 8"/>
        <cdr:cNvSpPr txBox="1"/>
      </cdr:nvSpPr>
      <cdr:spPr>
        <a:xfrm xmlns:a="http://schemas.openxmlformats.org/drawingml/2006/main">
          <a:off x="8155783" y="71468"/>
          <a:ext cx="1595436" cy="64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Aktualizacja cen</a:t>
          </a:r>
          <a:r>
            <a:rPr lang="pl-PL" sz="1100" b="0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paliw i energii elektrycznej:</a:t>
          </a:r>
          <a:endParaRPr lang="pl-PL" sz="1100" b="0">
            <a:solidFill>
              <a:srgbClr val="C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pl-PL" sz="11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06.2016r.</a:t>
          </a:r>
        </a:p>
      </cdr:txBody>
    </cdr:sp>
  </cdr:relSizeAnchor>
  <cdr:relSizeAnchor xmlns:cdr="http://schemas.openxmlformats.org/drawingml/2006/chartDrawing">
    <cdr:from>
      <cdr:x>0.03293</cdr:x>
      <cdr:y>0.47736</cdr:y>
    </cdr:from>
    <cdr:to>
      <cdr:x>0.05944</cdr:x>
      <cdr:y>0.51346</cdr:y>
    </cdr:to>
    <cdr:pic>
      <cdr:nvPicPr>
        <cdr:cNvPr id="10" name="Obraz 9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25438" y="3453029"/>
          <a:ext cx="261951" cy="26116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0.03052</cdr:x>
      <cdr:y>0.63785</cdr:y>
    </cdr:from>
    <cdr:to>
      <cdr:x>0.05928</cdr:x>
      <cdr:y>0.67155</cdr:y>
    </cdr:to>
    <cdr:pic>
      <cdr:nvPicPr>
        <cdr:cNvPr id="11" name="Obraz 10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01627" y="4613944"/>
          <a:ext cx="284164" cy="2438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0.0308</cdr:x>
      <cdr:y>0.74293</cdr:y>
    </cdr:from>
    <cdr:to>
      <cdr:x>0.06025</cdr:x>
      <cdr:y>0.7758</cdr:y>
    </cdr:to>
    <cdr:pic>
      <cdr:nvPicPr>
        <cdr:cNvPr id="12" name="Obraz 11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04376" y="5374072"/>
          <a:ext cx="290937" cy="23774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0.00602</cdr:x>
      <cdr:y>0.00823</cdr:y>
    </cdr:from>
    <cdr:to>
      <cdr:x>0.18556</cdr:x>
      <cdr:y>0.06584</cdr:y>
    </cdr:to>
    <cdr:pic>
      <cdr:nvPicPr>
        <cdr:cNvPr id="13" name="Obraz 12" descr="Viessmann_MS_0061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59532" y="59531"/>
          <a:ext cx="1774031" cy="41672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822656" cy="71675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0.99525</cdr:x>
      <cdr:y>0.11522</cdr:y>
    </cdr:from>
    <cdr:to>
      <cdr:x>1</cdr:x>
      <cdr:y>0.94149</cdr:y>
    </cdr:to>
    <cdr:grpSp>
      <cdr:nvGrpSpPr>
        <cdr:cNvPr id="8" name="Grupa 7"/>
        <cdr:cNvGrpSpPr/>
      </cdr:nvGrpSpPr>
      <cdr:grpSpPr>
        <a:xfrm xmlns:a="http://schemas.openxmlformats.org/drawingml/2006/main">
          <a:off x="9775998" y="825846"/>
          <a:ext cx="46658" cy="5922342"/>
          <a:chOff x="271464" y="833438"/>
          <a:chExt cx="348220" cy="5976931"/>
        </a:xfrm>
      </cdr:grpSpPr>
      <cdr:sp macro="" textlink="">
        <cdr:nvSpPr>
          <cdr:cNvPr id="2" name="pole tekstowe 1"/>
          <cdr:cNvSpPr txBox="1"/>
        </cdr:nvSpPr>
        <cdr:spPr>
          <a:xfrm xmlns:a="http://schemas.openxmlformats.org/drawingml/2006/main">
            <a:off x="278048" y="833438"/>
            <a:ext cx="329172" cy="122872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vert="vert270" wrap="square" rtlCol="0"/>
          <a:lstStyle xmlns:a="http://schemas.openxmlformats.org/drawingml/2006/main"/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3" name="pole tekstowe 1"/>
          <cdr:cNvSpPr txBox="1"/>
        </cdr:nvSpPr>
        <cdr:spPr>
          <a:xfrm xmlns:a="http://schemas.openxmlformats.org/drawingml/2006/main">
            <a:off x="273843" y="2262187"/>
            <a:ext cx="235745" cy="67865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4" name="pole tekstowe 1"/>
          <cdr:cNvSpPr txBox="1"/>
        </cdr:nvSpPr>
        <cdr:spPr>
          <a:xfrm xmlns:a="http://schemas.openxmlformats.org/drawingml/2006/main">
            <a:off x="271464" y="3178968"/>
            <a:ext cx="342900" cy="67865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5" name="pole tekstowe 1"/>
          <cdr:cNvSpPr txBox="1"/>
        </cdr:nvSpPr>
        <cdr:spPr>
          <a:xfrm xmlns:a="http://schemas.openxmlformats.org/drawingml/2006/main">
            <a:off x="281782" y="4048115"/>
            <a:ext cx="277830" cy="90000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6" name="pole tekstowe 1"/>
          <cdr:cNvSpPr txBox="1"/>
        </cdr:nvSpPr>
        <cdr:spPr>
          <a:xfrm xmlns:a="http://schemas.openxmlformats.org/drawingml/2006/main">
            <a:off x="293689" y="4976813"/>
            <a:ext cx="321468" cy="42068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7" name="pole tekstowe 1"/>
          <cdr:cNvSpPr txBox="1"/>
        </cdr:nvSpPr>
        <cdr:spPr>
          <a:xfrm xmlns:a="http://schemas.openxmlformats.org/drawingml/2006/main">
            <a:off x="290512" y="5453063"/>
            <a:ext cx="329172" cy="13573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l-PL" sz="1100" b="1" spc="70" baseline="0"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0.85548</cdr:x>
      <cdr:y>0.00988</cdr:y>
    </cdr:from>
    <cdr:to>
      <cdr:x>0.99887</cdr:x>
      <cdr:y>0.08724</cdr:y>
    </cdr:to>
    <cdr:sp macro="" textlink="">
      <cdr:nvSpPr>
        <cdr:cNvPr id="9" name="pole tekstowe 8"/>
        <cdr:cNvSpPr txBox="1"/>
      </cdr:nvSpPr>
      <cdr:spPr>
        <a:xfrm xmlns:a="http://schemas.openxmlformats.org/drawingml/2006/main">
          <a:off x="8453439" y="71439"/>
          <a:ext cx="1416844" cy="559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0.83018</cdr:x>
      <cdr:y>0.01317</cdr:y>
    </cdr:from>
    <cdr:to>
      <cdr:x>0.99164</cdr:x>
      <cdr:y>0.10205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8203407" y="95250"/>
          <a:ext cx="1595436" cy="64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l-PL" sz="1100" b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Aktualizacja cen</a:t>
          </a:r>
          <a:r>
            <a:rPr lang="pl-PL" sz="1100" b="0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paliw i energii elektrycznej:</a:t>
          </a:r>
          <a:endParaRPr lang="pl-PL" sz="1100" b="0">
            <a:solidFill>
              <a:srgbClr val="C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pl-PL" sz="11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06.2016r.</a:t>
          </a:r>
        </a:p>
      </cdr:txBody>
    </cdr:sp>
  </cdr:relSizeAnchor>
  <cdr:relSizeAnchor xmlns:cdr="http://schemas.openxmlformats.org/drawingml/2006/chartDrawing">
    <cdr:from>
      <cdr:x>0.03504</cdr:x>
      <cdr:y>0.4771</cdr:y>
    </cdr:from>
    <cdr:to>
      <cdr:x>0.06421</cdr:x>
      <cdr:y>0.51033</cdr:y>
    </cdr:to>
    <cdr:pic>
      <cdr:nvPicPr>
        <cdr:cNvPr id="20" name="Obraz 19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46198" y="3451112"/>
          <a:ext cx="288324" cy="24042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0.03652</cdr:x>
      <cdr:y>0.6326</cdr:y>
    </cdr:from>
    <cdr:to>
      <cdr:x>0.06507</cdr:x>
      <cdr:y>0.66715</cdr:y>
    </cdr:to>
    <cdr:pic>
      <cdr:nvPicPr>
        <cdr:cNvPr id="21" name="Obraz 20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60851" y="4575970"/>
          <a:ext cx="282087" cy="2499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0.03503</cdr:x>
      <cdr:y>0.73575</cdr:y>
    </cdr:from>
    <cdr:to>
      <cdr:x>0.06346</cdr:x>
      <cdr:y>0.77025</cdr:y>
    </cdr:to>
    <cdr:pic>
      <cdr:nvPicPr>
        <cdr:cNvPr id="22" name="Obraz 21" descr="sloneczko_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46197" y="5322095"/>
          <a:ext cx="280866" cy="24956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0.00241</cdr:x>
      <cdr:y>0.00988</cdr:y>
    </cdr:from>
    <cdr:to>
      <cdr:x>0.17953</cdr:x>
      <cdr:y>0.06935</cdr:y>
    </cdr:to>
    <cdr:pic>
      <cdr:nvPicPr>
        <cdr:cNvPr id="15" name="Obraz 14" descr="Viessmann_MS_00612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23813" y="71437"/>
          <a:ext cx="1750220" cy="43020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201084</xdr:colOff>
      <xdr:row>39</xdr:row>
      <xdr:rowOff>161395</xdr:rowOff>
    </xdr:from>
    <xdr:to>
      <xdr:col>9</xdr:col>
      <xdr:colOff>951178</xdr:colOff>
      <xdr:row>67</xdr:row>
      <xdr:rowOff>129646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130966</xdr:colOff>
      <xdr:row>7</xdr:row>
      <xdr:rowOff>11895</xdr:rowOff>
    </xdr:from>
    <xdr:to>
      <xdr:col>11</xdr:col>
      <xdr:colOff>578641</xdr:colOff>
      <xdr:row>7</xdr:row>
      <xdr:rowOff>126195</xdr:rowOff>
    </xdr:to>
    <xdr:sp macro="" textlink="">
      <xdr:nvSpPr>
        <xdr:cNvPr id="3" name="Strzałka w prawo 2"/>
        <xdr:cNvSpPr/>
      </xdr:nvSpPr>
      <xdr:spPr>
        <a:xfrm>
          <a:off x="8703466" y="1238239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11</xdr:col>
      <xdr:colOff>130966</xdr:colOff>
      <xdr:row>4</xdr:row>
      <xdr:rowOff>11895</xdr:rowOff>
    </xdr:from>
    <xdr:to>
      <xdr:col>11</xdr:col>
      <xdr:colOff>578641</xdr:colOff>
      <xdr:row>4</xdr:row>
      <xdr:rowOff>126195</xdr:rowOff>
    </xdr:to>
    <xdr:sp macro="" textlink="">
      <xdr:nvSpPr>
        <xdr:cNvPr id="5" name="Strzałka w prawo 4"/>
        <xdr:cNvSpPr/>
      </xdr:nvSpPr>
      <xdr:spPr>
        <a:xfrm>
          <a:off x="8703466" y="1238239"/>
          <a:ext cx="447675" cy="114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 editAs="oneCell">
    <xdr:from>
      <xdr:col>8</xdr:col>
      <xdr:colOff>1000125</xdr:colOff>
      <xdr:row>1</xdr:row>
      <xdr:rowOff>23813</xdr:rowOff>
    </xdr:from>
    <xdr:to>
      <xdr:col>10</xdr:col>
      <xdr:colOff>547688</xdr:colOff>
      <xdr:row>3</xdr:row>
      <xdr:rowOff>81598</xdr:rowOff>
    </xdr:to>
    <xdr:pic>
      <xdr:nvPicPr>
        <xdr:cNvPr id="6" name="Obraz 5" descr="Viessmann_MS_006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17594" y="190501"/>
          <a:ext cx="1833563" cy="450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re.gov.pl/ftp/ure-kalkulator/ure/formularz_kalkulator_html.php" TargetMode="External"/><Relationship Id="rId1" Type="http://schemas.openxmlformats.org/officeDocument/2006/relationships/hyperlink" Target="http://ure.gov.pl/ftp/ure-kalkulator/ure/formularz_kalkulator_html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</sheetPr>
  <dimension ref="B2:AA55"/>
  <sheetViews>
    <sheetView tabSelected="1" zoomScale="90" zoomScaleNormal="90" workbookViewId="0">
      <selection activeCell="G18" sqref="G18"/>
    </sheetView>
  </sheetViews>
  <sheetFormatPr defaultRowHeight="12.75" x14ac:dyDescent="0.2"/>
  <cols>
    <col min="1" max="1" width="3.28515625" style="3" customWidth="1"/>
    <col min="2" max="2" width="16.28515625" style="3" customWidth="1"/>
    <col min="3" max="3" width="30.5703125" style="3" customWidth="1"/>
    <col min="4" max="4" width="8.42578125" style="3" customWidth="1"/>
    <col min="5" max="5" width="8.28515625" style="3" customWidth="1"/>
    <col min="6" max="6" width="6.28515625" style="3" customWidth="1"/>
    <col min="7" max="7" width="10.5703125" style="3" customWidth="1"/>
    <col min="8" max="9" width="6" style="3" customWidth="1"/>
    <col min="10" max="10" width="18.28515625" style="3" customWidth="1"/>
    <col min="11" max="11" width="13" style="3" customWidth="1"/>
    <col min="12" max="12" width="6.7109375" style="3" customWidth="1"/>
    <col min="13" max="13" width="10.140625" style="3" customWidth="1"/>
    <col min="14" max="14" width="10.28515625" style="3" customWidth="1"/>
    <col min="15" max="15" width="33.42578125" style="3" customWidth="1"/>
    <col min="16" max="16" width="15.42578125" style="3" customWidth="1"/>
    <col min="17" max="17" width="17.85546875" style="3" customWidth="1"/>
    <col min="18" max="18" width="9.140625" style="3"/>
    <col min="19" max="19" width="14.5703125" style="3" customWidth="1"/>
    <col min="20" max="20" width="10.7109375" style="3" customWidth="1"/>
    <col min="21" max="21" width="9.140625" style="3"/>
    <col min="22" max="22" width="4.42578125" style="3" customWidth="1"/>
    <col min="23" max="23" width="6.42578125" style="3" customWidth="1"/>
    <col min="24" max="24" width="14.42578125" style="3" customWidth="1"/>
    <col min="25" max="25" width="2.7109375" style="3" customWidth="1"/>
    <col min="26" max="26" width="6.5703125" style="3" customWidth="1"/>
    <col min="27" max="16384" width="9.140625" style="3"/>
  </cols>
  <sheetData>
    <row r="2" spans="2:24" ht="18" x14ac:dyDescent="0.25">
      <c r="B2" s="25" t="s">
        <v>0</v>
      </c>
      <c r="C2" s="2"/>
      <c r="O2" s="113" t="s">
        <v>107</v>
      </c>
    </row>
    <row r="3" spans="2:24" x14ac:dyDescent="0.2">
      <c r="B3" s="55" t="s">
        <v>170</v>
      </c>
      <c r="C3" s="2"/>
      <c r="O3" s="3" t="s">
        <v>70</v>
      </c>
    </row>
    <row r="5" spans="2:24" ht="15.75" x14ac:dyDescent="0.25">
      <c r="B5" s="51" t="s">
        <v>1</v>
      </c>
      <c r="C5" s="2"/>
      <c r="O5" s="30" t="s">
        <v>74</v>
      </c>
      <c r="P5" s="31"/>
      <c r="Q5" s="31"/>
    </row>
    <row r="6" spans="2:24" ht="12" customHeight="1" x14ac:dyDescent="0.2">
      <c r="B6" s="2"/>
      <c r="C6" s="2"/>
      <c r="O6" s="32" t="s">
        <v>52</v>
      </c>
      <c r="P6" s="32" t="s">
        <v>53</v>
      </c>
      <c r="Q6" s="32" t="s">
        <v>7</v>
      </c>
    </row>
    <row r="7" spans="2:24" x14ac:dyDescent="0.2">
      <c r="B7" s="3" t="s">
        <v>3</v>
      </c>
      <c r="D7" s="23" t="s">
        <v>51</v>
      </c>
      <c r="O7" s="32" t="s">
        <v>54</v>
      </c>
      <c r="P7" s="32" t="s">
        <v>71</v>
      </c>
      <c r="Q7" s="32" t="s">
        <v>7</v>
      </c>
    </row>
    <row r="8" spans="2:24" x14ac:dyDescent="0.2">
      <c r="B8" s="3" t="s">
        <v>2</v>
      </c>
      <c r="D8" s="23">
        <v>139</v>
      </c>
      <c r="E8" s="3" t="s">
        <v>5</v>
      </c>
      <c r="O8" s="32" t="s">
        <v>55</v>
      </c>
      <c r="P8" s="33" t="s">
        <v>56</v>
      </c>
      <c r="Q8" s="32" t="s">
        <v>7</v>
      </c>
    </row>
    <row r="9" spans="2:24" x14ac:dyDescent="0.2">
      <c r="B9" s="3" t="s">
        <v>4</v>
      </c>
      <c r="D9" s="23">
        <v>4</v>
      </c>
      <c r="E9" s="3" t="s">
        <v>6</v>
      </c>
      <c r="O9" s="32"/>
      <c r="P9" s="32"/>
      <c r="Q9" s="32"/>
    </row>
    <row r="10" spans="2:24" x14ac:dyDescent="0.2">
      <c r="D10" s="24"/>
      <c r="O10" s="32" t="s">
        <v>59</v>
      </c>
      <c r="P10" s="32" t="s">
        <v>57</v>
      </c>
      <c r="Q10" s="32" t="s">
        <v>7</v>
      </c>
    </row>
    <row r="11" spans="2:24" x14ac:dyDescent="0.2">
      <c r="B11" s="3" t="s">
        <v>42</v>
      </c>
      <c r="D11" s="23">
        <v>80</v>
      </c>
      <c r="E11" s="3" t="s">
        <v>7</v>
      </c>
      <c r="N11" s="2"/>
      <c r="O11" s="32" t="s">
        <v>60</v>
      </c>
      <c r="P11" s="32" t="s">
        <v>58</v>
      </c>
      <c r="Q11" s="32" t="s">
        <v>7</v>
      </c>
    </row>
    <row r="12" spans="2:24" x14ac:dyDescent="0.2">
      <c r="D12" s="24"/>
      <c r="O12" s="47"/>
      <c r="P12" s="47"/>
      <c r="Q12" s="47"/>
    </row>
    <row r="13" spans="2:24" x14ac:dyDescent="0.2">
      <c r="B13" s="4" t="s">
        <v>109</v>
      </c>
      <c r="C13" s="4"/>
      <c r="D13" s="23">
        <v>50</v>
      </c>
      <c r="E13" s="3" t="s">
        <v>13</v>
      </c>
      <c r="H13" s="2" t="s">
        <v>110</v>
      </c>
      <c r="J13" s="2"/>
      <c r="O13" s="50" t="s">
        <v>73</v>
      </c>
      <c r="P13" s="32"/>
      <c r="Q13" s="32"/>
      <c r="S13" s="2"/>
      <c r="U13" s="2"/>
      <c r="W13" s="116"/>
      <c r="X13" s="114"/>
    </row>
    <row r="14" spans="2:24" x14ac:dyDescent="0.2">
      <c r="B14" s="3" t="s">
        <v>8</v>
      </c>
      <c r="D14" s="23">
        <v>10</v>
      </c>
      <c r="E14" s="3" t="s">
        <v>9</v>
      </c>
      <c r="H14" s="3" t="s">
        <v>111</v>
      </c>
      <c r="L14" s="117">
        <v>60</v>
      </c>
      <c r="M14" s="4" t="s">
        <v>36</v>
      </c>
      <c r="O14" s="32" t="s">
        <v>164</v>
      </c>
      <c r="P14" s="32"/>
      <c r="Q14" s="32"/>
      <c r="W14" s="115"/>
      <c r="X14" s="4"/>
    </row>
    <row r="15" spans="2:24" x14ac:dyDescent="0.2">
      <c r="B15" s="3" t="s">
        <v>11</v>
      </c>
      <c r="D15" s="23">
        <v>46</v>
      </c>
      <c r="E15" s="3" t="s">
        <v>9</v>
      </c>
      <c r="L15" s="116"/>
      <c r="M15" s="114"/>
      <c r="O15" s="47"/>
      <c r="P15" s="47"/>
      <c r="Q15" s="47"/>
    </row>
    <row r="16" spans="2:24" x14ac:dyDescent="0.2">
      <c r="B16" s="3" t="s">
        <v>10</v>
      </c>
      <c r="D16" s="23">
        <v>365</v>
      </c>
      <c r="E16" s="3" t="s">
        <v>12</v>
      </c>
      <c r="H16" s="2"/>
      <c r="J16" s="2"/>
      <c r="L16" s="116"/>
      <c r="M16" s="114"/>
      <c r="O16" s="50" t="s">
        <v>10</v>
      </c>
      <c r="P16" s="32"/>
      <c r="Q16" s="32"/>
      <c r="S16" s="2" t="s">
        <v>112</v>
      </c>
      <c r="U16" s="2"/>
      <c r="W16" s="116"/>
      <c r="X16" s="114"/>
    </row>
    <row r="17" spans="2:24" x14ac:dyDescent="0.2">
      <c r="B17" s="2"/>
      <c r="C17" s="2"/>
      <c r="L17" s="115"/>
      <c r="M17" s="4"/>
      <c r="O17" s="32" t="s">
        <v>65</v>
      </c>
      <c r="P17" s="32"/>
      <c r="Q17" s="32"/>
      <c r="S17" s="3" t="s">
        <v>113</v>
      </c>
      <c r="W17" s="115">
        <v>20</v>
      </c>
      <c r="X17" s="4" t="s">
        <v>36</v>
      </c>
    </row>
    <row r="18" spans="2:24" ht="15" x14ac:dyDescent="0.25">
      <c r="B18" s="1" t="s">
        <v>14</v>
      </c>
      <c r="C18" s="2"/>
      <c r="L18" s="114"/>
      <c r="M18" s="4"/>
      <c r="O18" s="31" t="s">
        <v>127</v>
      </c>
      <c r="P18" s="31"/>
      <c r="Q18" s="31"/>
    </row>
    <row r="19" spans="2:24" ht="12" customHeight="1" x14ac:dyDescent="0.2">
      <c r="B19" s="3" t="s">
        <v>150</v>
      </c>
    </row>
    <row r="20" spans="2:24" x14ac:dyDescent="0.2">
      <c r="B20" s="3" t="s">
        <v>43</v>
      </c>
      <c r="D20" s="5">
        <f>D11*D8</f>
        <v>11120</v>
      </c>
      <c r="E20" s="3" t="s">
        <v>15</v>
      </c>
    </row>
    <row r="21" spans="2:24" x14ac:dyDescent="0.2">
      <c r="B21" s="3" t="s">
        <v>44</v>
      </c>
      <c r="D21" s="5">
        <f>((D16*D9*D13*1.163*(D15-D14))/1000)+((D16*D9*D13*1.163*(D15-D14))/1000)*W17/100</f>
        <v>3667.6368000000002</v>
      </c>
      <c r="E21" s="3" t="s">
        <v>15</v>
      </c>
    </row>
    <row r="22" spans="2:24" x14ac:dyDescent="0.2">
      <c r="D22" s="5"/>
    </row>
    <row r="23" spans="2:24" x14ac:dyDescent="0.2">
      <c r="B23" s="2" t="s">
        <v>17</v>
      </c>
      <c r="C23" s="2"/>
      <c r="D23" s="96">
        <f>D20+D21</f>
        <v>14787.6368</v>
      </c>
      <c r="E23" s="3" t="s">
        <v>15</v>
      </c>
    </row>
    <row r="24" spans="2:24" x14ac:dyDescent="0.2">
      <c r="B24" s="2"/>
      <c r="C24" s="2"/>
    </row>
    <row r="25" spans="2:24" ht="16.5" thickBot="1" x14ac:dyDescent="0.3">
      <c r="B25" s="51" t="s">
        <v>143</v>
      </c>
      <c r="C25" s="2"/>
    </row>
    <row r="26" spans="2:24" x14ac:dyDescent="0.2">
      <c r="B26" s="6" t="s">
        <v>26</v>
      </c>
      <c r="C26" s="7"/>
      <c r="D26" s="8" t="s">
        <v>72</v>
      </c>
      <c r="E26" s="9"/>
      <c r="F26" s="10" t="s">
        <v>46</v>
      </c>
      <c r="G26" s="9"/>
      <c r="H26" s="8" t="s">
        <v>45</v>
      </c>
      <c r="I26" s="9"/>
      <c r="J26" s="8" t="s">
        <v>37</v>
      </c>
      <c r="K26" s="8" t="s">
        <v>47</v>
      </c>
      <c r="L26" s="8" t="s">
        <v>144</v>
      </c>
      <c r="M26" s="11"/>
    </row>
    <row r="27" spans="2:24" ht="13.5" thickBot="1" x14ac:dyDescent="0.25">
      <c r="B27" s="133"/>
      <c r="D27" s="132" t="s">
        <v>75</v>
      </c>
      <c r="E27" s="15"/>
      <c r="F27" s="26"/>
      <c r="G27" s="15"/>
      <c r="H27" s="132" t="s">
        <v>63</v>
      </c>
      <c r="I27" s="15"/>
      <c r="J27" s="26" t="s">
        <v>38</v>
      </c>
      <c r="K27" s="132" t="s">
        <v>39</v>
      </c>
      <c r="L27" s="132"/>
      <c r="M27" s="16"/>
    </row>
    <row r="28" spans="2:24" x14ac:dyDescent="0.2">
      <c r="B28" s="134" t="s">
        <v>104</v>
      </c>
      <c r="C28" s="142" t="s">
        <v>18</v>
      </c>
      <c r="D28" s="143">
        <f>(('Symulator - gaz ziemny'!$D$12*12+'Symulator - gaz ziemny'!$D$13*12+(('Symulator - gaz ziemny'!$D$14/100)*'Symulator - gaz ziemny'!$D$16)*L28+(('Symulator - gaz ziemny'!$D$15/100)*'Symulator - gaz ziemny'!$D$16)*L28)*1.23)/L28</f>
        <v>2.3397998615014721</v>
      </c>
      <c r="E28" s="9" t="s">
        <v>28</v>
      </c>
      <c r="F28" s="17">
        <v>9.86</v>
      </c>
      <c r="G28" s="9" t="s">
        <v>33</v>
      </c>
      <c r="H28" s="20">
        <v>70</v>
      </c>
      <c r="I28" s="7" t="s">
        <v>36</v>
      </c>
      <c r="J28" s="154">
        <f>($D$23/(H28/100*F28))*D28</f>
        <v>5013.0557137893475</v>
      </c>
      <c r="K28" s="155">
        <f>(1/(H28/100*F28))*D28</f>
        <v>0.33900316741545528</v>
      </c>
      <c r="L28" s="156">
        <f t="shared" ref="L28:L35" si="0">$D$23/(H28/100*F28)</f>
        <v>2142.5147493480154</v>
      </c>
      <c r="M28" s="11" t="s">
        <v>40</v>
      </c>
      <c r="O28" s="112" t="s">
        <v>108</v>
      </c>
      <c r="P28" s="112"/>
      <c r="Q28" s="112"/>
    </row>
    <row r="29" spans="2:24" x14ac:dyDescent="0.2">
      <c r="B29" s="46"/>
      <c r="C29" s="42" t="s">
        <v>19</v>
      </c>
      <c r="D29" s="139">
        <f>(('Symulator - gaz ziemny'!$D$12*12+'Symulator - gaz ziemny'!$D$13*12+(('Symulator - gaz ziemny'!$D$14/100)*'Symulator - gaz ziemny'!$D$16)*L29+(('Symulator - gaz ziemny'!$D$15/100)*'Symulator - gaz ziemny'!$D$16)*L29)*1.23)/L29</f>
        <v>2.3889732786089297</v>
      </c>
      <c r="E29" s="15" t="s">
        <v>28</v>
      </c>
      <c r="F29" s="18">
        <v>9.86</v>
      </c>
      <c r="G29" s="15" t="s">
        <v>33</v>
      </c>
      <c r="H29" s="22">
        <v>85</v>
      </c>
      <c r="I29" s="3" t="s">
        <v>36</v>
      </c>
      <c r="J29" s="157">
        <f t="shared" ref="J29:J35" si="1">($D$23/(H29/100*F29))*D29</f>
        <v>4215.1615760618151</v>
      </c>
      <c r="K29" s="158">
        <f t="shared" ref="K29:K36" si="2">(1/(H29/100*F29))*D29</f>
        <v>0.28504632843442668</v>
      </c>
      <c r="L29" s="159">
        <f t="shared" si="0"/>
        <v>1764.4239112277776</v>
      </c>
      <c r="M29" s="16" t="s">
        <v>40</v>
      </c>
    </row>
    <row r="30" spans="2:24" x14ac:dyDescent="0.2">
      <c r="B30" s="46"/>
      <c r="C30" s="42" t="s">
        <v>20</v>
      </c>
      <c r="D30" s="139">
        <f>(('Symulator - gaz ziemny'!$D$12*12+'Symulator - gaz ziemny'!$D$13*12+(('Symulator - gaz ziemny'!$D$14/100)*'Symulator - gaz ziemny'!$D$16)*L30+(('Symulator - gaz ziemny'!$D$15/100)*'Symulator - gaz ziemny'!$D$16)*L30)*1.23)/L30</f>
        <v>2.4512596069450439</v>
      </c>
      <c r="E30" s="15" t="s">
        <v>28</v>
      </c>
      <c r="F30" s="18">
        <v>9.86</v>
      </c>
      <c r="G30" s="15" t="s">
        <v>33</v>
      </c>
      <c r="H30" s="22">
        <v>104</v>
      </c>
      <c r="I30" s="3" t="s">
        <v>36</v>
      </c>
      <c r="J30" s="157">
        <f>($D$23/(H30/100*F30))*D30</f>
        <v>3534.9056765889827</v>
      </c>
      <c r="K30" s="158">
        <f>(1/(H30/100*F30))*D30</f>
        <v>0.23904466443137032</v>
      </c>
      <c r="L30" s="159">
        <f>$D$23/(H30/100*F30)</f>
        <v>1442.077235138087</v>
      </c>
      <c r="M30" s="16" t="s">
        <v>40</v>
      </c>
    </row>
    <row r="31" spans="2:24" ht="13.5" thickBot="1" x14ac:dyDescent="0.25">
      <c r="B31" s="46"/>
      <c r="C31" s="42" t="s">
        <v>142</v>
      </c>
      <c r="D31" s="145">
        <f>(('Symulator - gaz ziemny'!$D$12*12+'Symulator - gaz ziemny'!$D$13*12+(('Symulator - gaz ziemny'!$D$14/100)*'Symulator - gaz ziemny'!$D$16)*L31+(('Symulator - gaz ziemny'!$D$15/100)*'Symulator - gaz ziemny'!$D$16)*L31)*1.23)/L31</f>
        <v>2.5185677641981066</v>
      </c>
      <c r="E31" s="15" t="s">
        <v>28</v>
      </c>
      <c r="F31" s="140">
        <v>9.86</v>
      </c>
      <c r="G31" s="15" t="s">
        <v>33</v>
      </c>
      <c r="H31" s="141">
        <v>106</v>
      </c>
      <c r="I31" s="15" t="s">
        <v>36</v>
      </c>
      <c r="J31" s="157">
        <f>(($D$20+($D$21-($D$21*$L$14/100)))/(H31/100*F31))*D31</f>
        <v>3033.1576279220053</v>
      </c>
      <c r="K31" s="158">
        <f>(1/(H31/100*F31))*D31</f>
        <v>0.24097437370336663</v>
      </c>
      <c r="L31" s="159">
        <f>($D$20+($D$21-($D$21*$L$14/100)))/(H31/100*F31)</f>
        <v>1204.3184507635196</v>
      </c>
      <c r="M31" s="16" t="s">
        <v>40</v>
      </c>
    </row>
    <row r="32" spans="2:24" x14ac:dyDescent="0.2">
      <c r="B32" s="146" t="s">
        <v>62</v>
      </c>
      <c r="C32" s="44" t="s">
        <v>20</v>
      </c>
      <c r="D32" s="17">
        <v>1.8</v>
      </c>
      <c r="E32" s="9" t="s">
        <v>29</v>
      </c>
      <c r="F32" s="17">
        <v>6.66</v>
      </c>
      <c r="G32" s="9" t="s">
        <v>34</v>
      </c>
      <c r="H32" s="20">
        <v>104</v>
      </c>
      <c r="I32" s="9" t="s">
        <v>36</v>
      </c>
      <c r="J32" s="160">
        <f t="shared" si="1"/>
        <v>3842.9409563409563</v>
      </c>
      <c r="K32" s="155">
        <f t="shared" si="2"/>
        <v>0.25987525987525989</v>
      </c>
      <c r="L32" s="161">
        <f t="shared" si="0"/>
        <v>2134.967197967198</v>
      </c>
      <c r="M32" s="11" t="s">
        <v>48</v>
      </c>
      <c r="O32" s="153" t="s">
        <v>171</v>
      </c>
      <c r="P32" s="153"/>
      <c r="Q32" s="153"/>
    </row>
    <row r="33" spans="2:27" ht="13.5" thickBot="1" x14ac:dyDescent="0.25">
      <c r="B33" s="144"/>
      <c r="C33" s="42" t="s">
        <v>142</v>
      </c>
      <c r="D33" s="18">
        <v>1.8</v>
      </c>
      <c r="E33" s="15" t="s">
        <v>29</v>
      </c>
      <c r="F33" s="18">
        <v>6.66</v>
      </c>
      <c r="G33" s="15" t="s">
        <v>34</v>
      </c>
      <c r="H33" s="22">
        <v>106</v>
      </c>
      <c r="I33" s="15" t="s">
        <v>36</v>
      </c>
      <c r="J33" s="162">
        <f>((($D$20+($D$21-($D$21*$L$14/100))))/(H33/100*F33))*D33</f>
        <v>3209.3459255481898</v>
      </c>
      <c r="K33" s="158">
        <f t="shared" si="2"/>
        <v>0.25497195308516063</v>
      </c>
      <c r="L33" s="163">
        <f>($D$20+($D$21-($D$21*$L$14/100)))/(H33/100*F33)</f>
        <v>1782.9699586378831</v>
      </c>
      <c r="M33" s="16" t="s">
        <v>48</v>
      </c>
    </row>
    <row r="34" spans="2:27" x14ac:dyDescent="0.2">
      <c r="B34" s="34" t="s">
        <v>21</v>
      </c>
      <c r="C34" s="44" t="s">
        <v>19</v>
      </c>
      <c r="D34" s="17">
        <v>3.02</v>
      </c>
      <c r="E34" s="9" t="s">
        <v>29</v>
      </c>
      <c r="F34" s="17">
        <v>10.220000000000001</v>
      </c>
      <c r="G34" s="9" t="s">
        <v>34</v>
      </c>
      <c r="H34" s="20">
        <v>84</v>
      </c>
      <c r="I34" s="9" t="s">
        <v>36</v>
      </c>
      <c r="J34" s="164">
        <f t="shared" si="1"/>
        <v>5202.0621489143605</v>
      </c>
      <c r="K34" s="155">
        <f t="shared" si="2"/>
        <v>0.35178454943621285</v>
      </c>
      <c r="L34" s="161">
        <f t="shared" si="0"/>
        <v>1722.5371354021061</v>
      </c>
      <c r="M34" s="11" t="s">
        <v>48</v>
      </c>
    </row>
    <row r="35" spans="2:27" x14ac:dyDescent="0.2">
      <c r="B35" s="147"/>
      <c r="C35" s="42" t="s">
        <v>20</v>
      </c>
      <c r="D35" s="18">
        <v>3.02</v>
      </c>
      <c r="E35" s="15" t="s">
        <v>29</v>
      </c>
      <c r="F35" s="18">
        <v>10.220000000000001</v>
      </c>
      <c r="G35" s="15" t="s">
        <v>34</v>
      </c>
      <c r="H35" s="22">
        <v>96</v>
      </c>
      <c r="I35" s="15" t="s">
        <v>36</v>
      </c>
      <c r="J35" s="165">
        <f t="shared" si="1"/>
        <v>4551.8043803000655</v>
      </c>
      <c r="K35" s="158">
        <f t="shared" si="2"/>
        <v>0.30781148075668624</v>
      </c>
      <c r="L35" s="163">
        <f t="shared" si="0"/>
        <v>1507.219993476843</v>
      </c>
      <c r="M35" s="16" t="s">
        <v>48</v>
      </c>
    </row>
    <row r="36" spans="2:27" ht="13.5" thickBot="1" x14ac:dyDescent="0.25">
      <c r="B36" s="35"/>
      <c r="C36" s="43" t="s">
        <v>142</v>
      </c>
      <c r="D36" s="19">
        <v>3.02</v>
      </c>
      <c r="E36" s="13" t="s">
        <v>29</v>
      </c>
      <c r="F36" s="19">
        <v>10.220000000000001</v>
      </c>
      <c r="G36" s="13" t="s">
        <v>34</v>
      </c>
      <c r="H36" s="21">
        <v>98</v>
      </c>
      <c r="I36" s="13" t="s">
        <v>36</v>
      </c>
      <c r="J36" s="166">
        <f>(($D$20+($D$21-($D$21*$L$14/100)))/(H36/100*F36))*D36</f>
        <v>3795.369748632133</v>
      </c>
      <c r="K36" s="167">
        <f t="shared" si="2"/>
        <v>0.30152961380246812</v>
      </c>
      <c r="L36" s="168">
        <f>($D$20+($D$21-($D$21*$L$14/100)))/(H36/100*F36)</f>
        <v>1256.7449498781898</v>
      </c>
      <c r="M36" s="14" t="s">
        <v>48</v>
      </c>
    </row>
    <row r="37" spans="2:27" x14ac:dyDescent="0.2">
      <c r="B37" s="148" t="s">
        <v>61</v>
      </c>
      <c r="C37" s="42" t="s">
        <v>121</v>
      </c>
      <c r="D37" s="22">
        <v>550</v>
      </c>
      <c r="E37" s="15" t="s">
        <v>32</v>
      </c>
      <c r="F37" s="18">
        <v>6.38</v>
      </c>
      <c r="G37" s="15" t="s">
        <v>35</v>
      </c>
      <c r="H37" s="22">
        <v>50</v>
      </c>
      <c r="I37" s="3" t="s">
        <v>36</v>
      </c>
      <c r="J37" s="169">
        <f>(($W$43/(H37/100*F37))*(D37/1000))+(W44*W45)</f>
        <v>3187.7402765517245</v>
      </c>
      <c r="K37" s="158">
        <f>(1/(H37/100*F37))*(D37/1000)</f>
        <v>0.17241379310344832</v>
      </c>
      <c r="L37" s="170">
        <f>($D$23/(H37/100*F37))/1000</f>
        <v>4.6356228213166144</v>
      </c>
      <c r="M37" s="16" t="s">
        <v>49</v>
      </c>
      <c r="S37" s="118" t="s">
        <v>114</v>
      </c>
      <c r="T37" s="119"/>
      <c r="U37" s="119"/>
      <c r="V37" s="119"/>
      <c r="W37" s="119"/>
      <c r="X37" s="119"/>
      <c r="Y37" s="119"/>
      <c r="Z37" s="119"/>
      <c r="AA37" s="119"/>
    </row>
    <row r="38" spans="2:27" ht="13.5" thickBot="1" x14ac:dyDescent="0.25">
      <c r="B38" s="36"/>
      <c r="C38" s="43" t="s">
        <v>27</v>
      </c>
      <c r="D38" s="21">
        <v>850</v>
      </c>
      <c r="E38" s="13" t="s">
        <v>32</v>
      </c>
      <c r="F38" s="19">
        <v>7.22</v>
      </c>
      <c r="G38" s="13" t="s">
        <v>35</v>
      </c>
      <c r="H38" s="21">
        <v>75</v>
      </c>
      <c r="I38" s="12" t="s">
        <v>36</v>
      </c>
      <c r="J38" s="171">
        <f>($D$23/(H38/100*F38))*(D38/1000)</f>
        <v>2321.2356934441364</v>
      </c>
      <c r="K38" s="167">
        <f>(1/(H38/100*F38))*(D38/1000)</f>
        <v>0.15697137580794088</v>
      </c>
      <c r="L38" s="172">
        <f>($D$23/(H38/100*F38))/1000</f>
        <v>2.7308655216989841</v>
      </c>
      <c r="M38" s="14" t="s">
        <v>49</v>
      </c>
      <c r="S38" s="119" t="s">
        <v>115</v>
      </c>
      <c r="T38" s="120"/>
      <c r="U38" s="121">
        <f>D21/12</f>
        <v>305.63640000000004</v>
      </c>
      <c r="V38" s="119" t="s">
        <v>116</v>
      </c>
      <c r="W38" s="119"/>
      <c r="X38" s="119"/>
      <c r="Y38" s="119"/>
      <c r="Z38" s="119"/>
      <c r="AA38" s="119"/>
    </row>
    <row r="39" spans="2:27" x14ac:dyDescent="0.2">
      <c r="B39" s="37" t="s">
        <v>25</v>
      </c>
      <c r="C39" s="44" t="s">
        <v>67</v>
      </c>
      <c r="D39" s="20">
        <v>250</v>
      </c>
      <c r="E39" s="9" t="s">
        <v>31</v>
      </c>
      <c r="F39" s="17">
        <v>3.8</v>
      </c>
      <c r="G39" s="9" t="s">
        <v>35</v>
      </c>
      <c r="H39" s="20">
        <v>70</v>
      </c>
      <c r="I39" s="7" t="s">
        <v>36</v>
      </c>
      <c r="J39" s="173">
        <f>($D$23/(H39/100*F39))*(D39/474.5)</f>
        <v>2929.010513639209</v>
      </c>
      <c r="K39" s="155">
        <f>(1/(H39/100*F39))*(D39/474.5)</f>
        <v>0.19807157514439419</v>
      </c>
      <c r="L39" s="174">
        <f>($D$23/(H39/100*F39))/474.5</f>
        <v>11.716042054556837</v>
      </c>
      <c r="M39" s="11" t="s">
        <v>50</v>
      </c>
      <c r="S39" s="119" t="s">
        <v>117</v>
      </c>
      <c r="T39" s="122"/>
      <c r="U39" s="123">
        <v>5</v>
      </c>
      <c r="V39" s="119" t="s">
        <v>118</v>
      </c>
      <c r="W39" s="119"/>
      <c r="X39" s="119"/>
      <c r="Y39" s="119"/>
      <c r="Z39" s="119"/>
      <c r="AA39" s="119"/>
    </row>
    <row r="40" spans="2:27" ht="13.5" thickBot="1" x14ac:dyDescent="0.25">
      <c r="B40" s="38"/>
      <c r="C40" s="43" t="s">
        <v>68</v>
      </c>
      <c r="D40" s="21">
        <v>800</v>
      </c>
      <c r="E40" s="13" t="s">
        <v>32</v>
      </c>
      <c r="F40" s="19">
        <v>5.28</v>
      </c>
      <c r="G40" s="13" t="s">
        <v>35</v>
      </c>
      <c r="H40" s="21">
        <v>90</v>
      </c>
      <c r="I40" s="12" t="s">
        <v>36</v>
      </c>
      <c r="J40" s="175">
        <f>($D$23/(H40/100*F40))*(D40/1000)</f>
        <v>2489.5011447811448</v>
      </c>
      <c r="K40" s="167">
        <f>(1/(H40/100*F40))*(D40/1000)</f>
        <v>0.16835016835016833</v>
      </c>
      <c r="L40" s="172">
        <f>($D$23/(H40/100*F40))/1000</f>
        <v>3.1118764309764306</v>
      </c>
      <c r="M40" s="14" t="s">
        <v>49</v>
      </c>
      <c r="S40" s="119" t="s">
        <v>119</v>
      </c>
      <c r="T40" s="119"/>
      <c r="U40" s="120">
        <f>U38*U39</f>
        <v>1528.1820000000002</v>
      </c>
      <c r="V40" s="119" t="s">
        <v>15</v>
      </c>
      <c r="W40" s="119"/>
      <c r="X40" s="119"/>
      <c r="Y40" s="119"/>
      <c r="Z40" s="119"/>
      <c r="AA40" s="119"/>
    </row>
    <row r="41" spans="2:27" x14ac:dyDescent="0.2">
      <c r="B41" s="39" t="s">
        <v>22</v>
      </c>
      <c r="C41" s="44" t="s">
        <v>24</v>
      </c>
      <c r="D41" s="17">
        <v>0.62</v>
      </c>
      <c r="E41" s="9" t="s">
        <v>30</v>
      </c>
      <c r="F41" s="27">
        <v>1</v>
      </c>
      <c r="G41" s="9" t="s">
        <v>16</v>
      </c>
      <c r="H41" s="52">
        <v>4.4000000000000004</v>
      </c>
      <c r="I41" s="7" t="s">
        <v>16</v>
      </c>
      <c r="J41" s="176">
        <f>($D$23/(H41*F41))*D41</f>
        <v>2083.712458181818</v>
      </c>
      <c r="K41" s="155">
        <f>(1/(H41*F41))*D41</f>
        <v>0.1409090909090909</v>
      </c>
      <c r="L41" s="156">
        <f>$D$23/(H41*F41)</f>
        <v>3360.8265454545453</v>
      </c>
      <c r="M41" s="11" t="s">
        <v>15</v>
      </c>
      <c r="O41" s="48" t="s">
        <v>66</v>
      </c>
      <c r="P41" s="48"/>
      <c r="Q41" s="48"/>
      <c r="S41" s="119" t="s">
        <v>120</v>
      </c>
      <c r="T41" s="119"/>
      <c r="U41" s="120">
        <f>D21-U40</f>
        <v>2139.4548</v>
      </c>
      <c r="V41" s="119" t="s">
        <v>15</v>
      </c>
      <c r="W41" s="119"/>
      <c r="X41" s="119"/>
      <c r="Y41" s="119"/>
      <c r="Z41" s="119"/>
      <c r="AA41" s="119"/>
    </row>
    <row r="42" spans="2:27" x14ac:dyDescent="0.2">
      <c r="B42" s="40"/>
      <c r="C42" s="42" t="s">
        <v>23</v>
      </c>
      <c r="D42" s="18">
        <v>0.62</v>
      </c>
      <c r="E42" s="15" t="s">
        <v>30</v>
      </c>
      <c r="F42" s="28">
        <v>1</v>
      </c>
      <c r="G42" s="15" t="s">
        <v>16</v>
      </c>
      <c r="H42" s="53">
        <v>3.7</v>
      </c>
      <c r="I42" s="3" t="s">
        <v>16</v>
      </c>
      <c r="J42" s="177">
        <f>($D$23/(H42*F42))*D42</f>
        <v>2477.9283286486484</v>
      </c>
      <c r="K42" s="158">
        <f>(1/(H42*F42))*D42</f>
        <v>0.16756756756756755</v>
      </c>
      <c r="L42" s="159">
        <f>$D$23/(H42*F42)</f>
        <v>3996.6585945945944</v>
      </c>
      <c r="M42" s="16" t="s">
        <v>15</v>
      </c>
      <c r="O42" s="48" t="s">
        <v>153</v>
      </c>
      <c r="P42" s="48"/>
      <c r="Q42" s="48"/>
      <c r="S42" s="119"/>
      <c r="T42" s="119"/>
      <c r="U42" s="124"/>
      <c r="V42" s="119"/>
      <c r="W42" s="119"/>
      <c r="X42" s="119"/>
      <c r="Y42" s="119"/>
      <c r="Z42" s="119"/>
      <c r="AA42" s="119"/>
    </row>
    <row r="43" spans="2:27" ht="13.5" thickBot="1" x14ac:dyDescent="0.25">
      <c r="B43" s="41"/>
      <c r="C43" s="45" t="s">
        <v>41</v>
      </c>
      <c r="D43" s="19">
        <v>0.35</v>
      </c>
      <c r="E43" s="12" t="s">
        <v>30</v>
      </c>
      <c r="F43" s="29">
        <v>1</v>
      </c>
      <c r="G43" s="13" t="s">
        <v>16</v>
      </c>
      <c r="H43" s="49">
        <v>1</v>
      </c>
      <c r="I43" s="12" t="s">
        <v>16</v>
      </c>
      <c r="J43" s="178">
        <f>($D$23/(H43*F43))*D43</f>
        <v>5175.6728800000001</v>
      </c>
      <c r="K43" s="167">
        <f>(1/(H43*F43))*D43</f>
        <v>0.35</v>
      </c>
      <c r="L43" s="179">
        <f>$D$23/(H43*F43)</f>
        <v>14787.6368</v>
      </c>
      <c r="M43" s="14" t="s">
        <v>15</v>
      </c>
      <c r="O43" s="48" t="s">
        <v>159</v>
      </c>
      <c r="P43" s="48"/>
      <c r="Q43" s="48"/>
      <c r="S43" s="119" t="s">
        <v>124</v>
      </c>
      <c r="T43" s="119"/>
      <c r="U43" s="119"/>
      <c r="V43" s="118"/>
      <c r="W43" s="125">
        <f>D20+U41</f>
        <v>13259.4548</v>
      </c>
      <c r="X43" s="119" t="s">
        <v>15</v>
      </c>
      <c r="Y43" s="119"/>
      <c r="Z43" s="119"/>
      <c r="AA43" s="119"/>
    </row>
    <row r="44" spans="2:27" x14ac:dyDescent="0.2">
      <c r="O44" s="48" t="s">
        <v>64</v>
      </c>
      <c r="P44" s="48"/>
      <c r="Q44" s="48"/>
      <c r="S44" s="119" t="s">
        <v>122</v>
      </c>
      <c r="T44" s="119"/>
      <c r="U44" s="119"/>
      <c r="V44" s="119"/>
      <c r="W44" s="125">
        <f>U40</f>
        <v>1528.1820000000002</v>
      </c>
      <c r="X44" s="119" t="s">
        <v>15</v>
      </c>
      <c r="Y44" s="119"/>
      <c r="Z44" s="119"/>
      <c r="AA44" s="119"/>
    </row>
    <row r="45" spans="2:27" x14ac:dyDescent="0.2">
      <c r="B45" s="54" t="s">
        <v>69</v>
      </c>
      <c r="O45" s="48"/>
      <c r="P45" s="48"/>
      <c r="Q45" s="48"/>
      <c r="S45" s="119" t="s">
        <v>123</v>
      </c>
      <c r="T45" s="119"/>
      <c r="U45" s="119"/>
      <c r="V45" s="119"/>
      <c r="W45" s="126">
        <v>0.59</v>
      </c>
      <c r="X45" s="119" t="s">
        <v>30</v>
      </c>
      <c r="Y45" s="119"/>
      <c r="Z45" s="119"/>
      <c r="AA45" s="119"/>
    </row>
    <row r="46" spans="2:27" x14ac:dyDescent="0.2">
      <c r="B46" s="47" t="s">
        <v>165</v>
      </c>
      <c r="O46" s="48" t="s">
        <v>154</v>
      </c>
      <c r="P46" s="48"/>
      <c r="Q46" s="48"/>
      <c r="S46" s="119" t="s">
        <v>126</v>
      </c>
      <c r="T46" s="119"/>
      <c r="U46" s="119"/>
      <c r="V46" s="119"/>
      <c r="W46" s="118">
        <f>W44*W45</f>
        <v>901.62738000000013</v>
      </c>
      <c r="X46" s="119" t="s">
        <v>125</v>
      </c>
      <c r="Y46" s="127">
        <f>U39</f>
        <v>5</v>
      </c>
      <c r="Z46" s="119" t="s">
        <v>118</v>
      </c>
      <c r="AA46" s="119"/>
    </row>
    <row r="47" spans="2:27" x14ac:dyDescent="0.2">
      <c r="B47" s="47"/>
      <c r="E47" s="113"/>
      <c r="O47" s="48" t="s">
        <v>152</v>
      </c>
      <c r="P47" s="48"/>
      <c r="Q47" s="48"/>
    </row>
    <row r="48" spans="2:27" x14ac:dyDescent="0.2">
      <c r="E48" s="113"/>
      <c r="O48" s="48" t="s">
        <v>161</v>
      </c>
      <c r="P48" s="48"/>
      <c r="Q48" s="48"/>
    </row>
    <row r="49" spans="2:17" x14ac:dyDescent="0.2">
      <c r="B49" s="3" t="s">
        <v>166</v>
      </c>
      <c r="O49" s="48" t="s">
        <v>160</v>
      </c>
      <c r="P49" s="48"/>
      <c r="Q49" s="48"/>
    </row>
    <row r="50" spans="2:17" x14ac:dyDescent="0.2">
      <c r="B50" s="3" t="s">
        <v>167</v>
      </c>
    </row>
    <row r="51" spans="2:17" x14ac:dyDescent="0.2">
      <c r="B51" s="3" t="s">
        <v>162</v>
      </c>
      <c r="O51" s="151" t="s">
        <v>157</v>
      </c>
      <c r="P51" s="48"/>
      <c r="Q51" s="48"/>
    </row>
    <row r="52" spans="2:17" x14ac:dyDescent="0.2">
      <c r="B52" s="180" t="s">
        <v>163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O52" s="48" t="s">
        <v>158</v>
      </c>
      <c r="P52" s="48"/>
      <c r="Q52" s="48"/>
    </row>
    <row r="53" spans="2:17" x14ac:dyDescent="0.2"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O53" s="48" t="s">
        <v>156</v>
      </c>
      <c r="P53" s="48"/>
      <c r="Q53" s="48"/>
    </row>
    <row r="54" spans="2:17" x14ac:dyDescent="0.2">
      <c r="B54" s="2" t="s">
        <v>102</v>
      </c>
      <c r="O54" s="152" t="s">
        <v>155</v>
      </c>
      <c r="P54" s="48"/>
      <c r="Q54" s="48"/>
    </row>
    <row r="55" spans="2:17" x14ac:dyDescent="0.2">
      <c r="B55" s="3" t="s">
        <v>76</v>
      </c>
      <c r="O55" s="48"/>
      <c r="P55" s="48"/>
      <c r="Q55" s="48"/>
    </row>
  </sheetData>
  <sheetProtection algorithmName="SHA-512" hashValue="4iRu1EBgD1QFOqHXJbWJGqDYVgu9Og3mMSkFElNElauqa5hTie0mWWWHXCvFjV9r7aABwTvM7K+aA5z7Oo4YNg==" saltValue="U0IHgICX51rzI3wfmnZvzw==" spinCount="100000" sheet="1" objects="1" scenarios="1"/>
  <protectedRanges>
    <protectedRange sqref="L14" name="pokrycie"/>
    <protectedRange sqref="H28:H42" name="sprawność"/>
    <protectedRange sqref="F28:F40" name="wartość opałowa"/>
    <protectedRange sqref="D32:D43" name="ceny"/>
    <protectedRange sqref="D7:D16" name="dane"/>
  </protectedRanges>
  <mergeCells count="1">
    <mergeCell ref="B52:M53"/>
  </mergeCells>
  <hyperlinks>
    <hyperlink ref="E56" r:id="rId1" display="http://ure.gov.pl/ftp/ure-kalkulator/ure/formularz_kalkulator_html.php"/>
    <hyperlink ref="O54" r:id="rId2"/>
  </hyperlinks>
  <pageMargins left="0.28000000000000003" right="0.51" top="0.27559055118110237" bottom="0.31496062992125984" header="0.31496062992125984" footer="0.31496062992125984"/>
  <pageSetup paperSize="9" orientation="landscape" r:id="rId3"/>
  <ignoredErrors>
    <ignoredError sqref="J39:L39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U72"/>
  <sheetViews>
    <sheetView zoomScale="80" zoomScaleNormal="80" workbookViewId="0">
      <selection activeCell="F9" sqref="F9"/>
    </sheetView>
  </sheetViews>
  <sheetFormatPr defaultRowHeight="12.75" x14ac:dyDescent="0.2"/>
  <cols>
    <col min="1" max="1" width="3.28515625" style="56" customWidth="1"/>
    <col min="2" max="2" width="8.42578125" style="56" customWidth="1"/>
    <col min="3" max="3" width="19.5703125" style="56" customWidth="1"/>
    <col min="4" max="4" width="7" style="56" customWidth="1"/>
    <col min="5" max="5" width="12.85546875" style="56" customWidth="1"/>
    <col min="6" max="6" width="16.85546875" style="56" customWidth="1"/>
    <col min="7" max="7" width="11" style="56" customWidth="1"/>
    <col min="8" max="8" width="17.28515625" style="56" customWidth="1"/>
    <col min="9" max="9" width="19" style="56" customWidth="1"/>
    <col min="10" max="10" width="15.28515625" style="56" customWidth="1"/>
    <col min="11" max="11" width="8.85546875" style="56" customWidth="1"/>
    <col min="12" max="12" width="9.140625" style="56" customWidth="1"/>
    <col min="13" max="13" width="9.140625" style="56"/>
    <col min="14" max="14" width="12.85546875" style="56" customWidth="1"/>
    <col min="15" max="15" width="12.7109375" style="56" customWidth="1"/>
    <col min="16" max="17" width="8.7109375" style="56" customWidth="1"/>
    <col min="18" max="18" width="9.140625" style="56"/>
    <col min="19" max="19" width="9.42578125" style="56" customWidth="1"/>
    <col min="20" max="20" width="8.140625" style="56" customWidth="1"/>
    <col min="21" max="21" width="9.28515625" style="56" customWidth="1"/>
    <col min="22" max="16384" width="9.140625" style="56"/>
  </cols>
  <sheetData>
    <row r="2" spans="2:21" ht="18" x14ac:dyDescent="0.25">
      <c r="B2" s="25" t="s">
        <v>77</v>
      </c>
      <c r="M2" s="113" t="s">
        <v>107</v>
      </c>
      <c r="N2" s="3"/>
    </row>
    <row r="3" spans="2:21" x14ac:dyDescent="0.2">
      <c r="B3" s="3"/>
      <c r="M3" s="3" t="s">
        <v>70</v>
      </c>
      <c r="N3" s="3"/>
    </row>
    <row r="4" spans="2:21" x14ac:dyDescent="0.2">
      <c r="M4" s="57"/>
    </row>
    <row r="5" spans="2:21" x14ac:dyDescent="0.2">
      <c r="B5" s="57" t="s">
        <v>106</v>
      </c>
      <c r="D5" s="62">
        <f>'Koszty ogrzewania'!L30</f>
        <v>1442.077235138087</v>
      </c>
      <c r="E5" s="56" t="s">
        <v>135</v>
      </c>
      <c r="F5" s="131">
        <f>D5*D16</f>
        <v>15898.901517397409</v>
      </c>
      <c r="G5" s="56" t="s">
        <v>15</v>
      </c>
      <c r="M5" s="104" t="s">
        <v>151</v>
      </c>
      <c r="N5" s="104"/>
      <c r="O5" s="104"/>
      <c r="P5" s="104"/>
      <c r="Q5" s="104"/>
      <c r="R5" s="104"/>
      <c r="S5" s="104"/>
      <c r="T5" s="104"/>
      <c r="U5" s="104"/>
    </row>
    <row r="6" spans="2:21" x14ac:dyDescent="0.2">
      <c r="B6" s="57"/>
      <c r="D6" s="63"/>
    </row>
    <row r="7" spans="2:21" x14ac:dyDescent="0.2">
      <c r="B7" s="57" t="s">
        <v>105</v>
      </c>
      <c r="D7" s="64" t="s">
        <v>148</v>
      </c>
      <c r="M7" s="102" t="s">
        <v>145</v>
      </c>
      <c r="N7" s="102"/>
      <c r="O7" s="102"/>
      <c r="P7" s="102"/>
      <c r="Q7" s="102"/>
      <c r="R7" s="102"/>
      <c r="S7" s="102"/>
      <c r="T7" s="102"/>
      <c r="U7" s="102"/>
    </row>
    <row r="8" spans="2:21" x14ac:dyDescent="0.2">
      <c r="B8" s="57" t="s">
        <v>82</v>
      </c>
      <c r="D8" s="61" t="s">
        <v>149</v>
      </c>
      <c r="M8" s="102" t="s">
        <v>146</v>
      </c>
      <c r="N8" s="102"/>
      <c r="O8" s="102"/>
      <c r="P8" s="102"/>
      <c r="Q8" s="102"/>
      <c r="R8" s="102"/>
      <c r="S8" s="102"/>
      <c r="T8" s="102"/>
      <c r="U8" s="102"/>
    </row>
    <row r="9" spans="2:21" x14ac:dyDescent="0.2">
      <c r="D9" s="58"/>
      <c r="M9" s="102" t="s">
        <v>147</v>
      </c>
      <c r="N9" s="102"/>
      <c r="O9" s="102"/>
      <c r="P9" s="102"/>
      <c r="Q9" s="102"/>
      <c r="R9" s="102"/>
      <c r="S9" s="102"/>
      <c r="T9" s="102"/>
      <c r="U9" s="102"/>
    </row>
    <row r="10" spans="2:21" x14ac:dyDescent="0.2">
      <c r="D10" s="58"/>
      <c r="M10" s="103" t="s">
        <v>129</v>
      </c>
      <c r="N10" s="102"/>
      <c r="O10" s="102"/>
      <c r="P10" s="102"/>
      <c r="Q10" s="102"/>
      <c r="R10" s="102"/>
      <c r="S10" s="102"/>
      <c r="T10" s="102"/>
      <c r="U10" s="102"/>
    </row>
    <row r="11" spans="2:21" x14ac:dyDescent="0.2">
      <c r="B11" s="57" t="s">
        <v>139</v>
      </c>
      <c r="D11" s="58"/>
      <c r="F11" s="57"/>
      <c r="M11" s="102" t="s">
        <v>130</v>
      </c>
      <c r="N11" s="102"/>
      <c r="O11" s="102"/>
      <c r="P11" s="102"/>
      <c r="Q11" s="102"/>
      <c r="R11" s="102"/>
      <c r="S11" s="102"/>
      <c r="T11" s="102"/>
      <c r="U11" s="102"/>
    </row>
    <row r="12" spans="2:21" x14ac:dyDescent="0.2">
      <c r="B12" s="56" t="s">
        <v>79</v>
      </c>
      <c r="D12" s="130">
        <v>8.76</v>
      </c>
      <c r="E12" s="56" t="s">
        <v>78</v>
      </c>
      <c r="M12" s="102" t="s">
        <v>131</v>
      </c>
      <c r="N12" s="102"/>
      <c r="O12" s="102"/>
      <c r="P12" s="102"/>
      <c r="Q12" s="102"/>
      <c r="R12" s="102"/>
      <c r="S12" s="102"/>
      <c r="T12" s="102"/>
      <c r="U12" s="102"/>
    </row>
    <row r="13" spans="2:21" x14ac:dyDescent="0.2">
      <c r="B13" s="56" t="s">
        <v>132</v>
      </c>
      <c r="D13" s="61">
        <v>24.55</v>
      </c>
      <c r="E13" s="56" t="s">
        <v>78</v>
      </c>
      <c r="M13" s="57"/>
    </row>
    <row r="14" spans="2:21" x14ac:dyDescent="0.2">
      <c r="B14" s="56" t="s">
        <v>80</v>
      </c>
      <c r="D14" s="150">
        <v>11.815</v>
      </c>
      <c r="E14" s="56" t="s">
        <v>133</v>
      </c>
    </row>
    <row r="15" spans="2:21" x14ac:dyDescent="0.2">
      <c r="B15" s="56" t="s">
        <v>134</v>
      </c>
      <c r="D15" s="61">
        <v>3.7469999999999999</v>
      </c>
      <c r="E15" s="56" t="s">
        <v>133</v>
      </c>
      <c r="M15" s="57"/>
    </row>
    <row r="16" spans="2:21" x14ac:dyDescent="0.2">
      <c r="B16" s="56" t="s">
        <v>128</v>
      </c>
      <c r="D16" s="149">
        <v>11.025</v>
      </c>
      <c r="E16" s="56" t="s">
        <v>33</v>
      </c>
      <c r="M16" s="54"/>
      <c r="N16" s="47"/>
      <c r="O16" s="47"/>
      <c r="P16" s="47"/>
      <c r="Q16" s="47"/>
      <c r="R16" s="47"/>
      <c r="S16" s="47"/>
      <c r="T16" s="47"/>
      <c r="U16" s="47"/>
    </row>
    <row r="17" spans="2:21" x14ac:dyDescent="0.2">
      <c r="M17" s="47"/>
      <c r="N17" s="47"/>
      <c r="O17" s="47"/>
      <c r="P17" s="47"/>
      <c r="Q17" s="47"/>
      <c r="R17" s="47"/>
      <c r="S17" s="47"/>
      <c r="T17" s="47"/>
      <c r="U17" s="47"/>
    </row>
    <row r="18" spans="2:21" ht="15.75" x14ac:dyDescent="0.25">
      <c r="B18" s="89" t="s">
        <v>81</v>
      </c>
      <c r="M18" s="59"/>
      <c r="N18" s="47"/>
      <c r="O18" s="47"/>
      <c r="P18" s="47"/>
      <c r="Q18" s="47"/>
      <c r="R18" s="47"/>
      <c r="S18" s="47"/>
      <c r="T18" s="47"/>
      <c r="U18" s="47"/>
    </row>
    <row r="19" spans="2:21" ht="13.5" thickBot="1" x14ac:dyDescent="0.25">
      <c r="M19" s="47"/>
      <c r="N19" s="47"/>
      <c r="O19" s="47"/>
      <c r="P19" s="128"/>
      <c r="Q19" s="128"/>
      <c r="R19" s="128"/>
      <c r="S19" s="128"/>
      <c r="T19" s="128"/>
      <c r="U19" s="128"/>
    </row>
    <row r="20" spans="2:21" x14ac:dyDescent="0.2">
      <c r="B20" s="83" t="s">
        <v>92</v>
      </c>
      <c r="C20" s="95" t="s">
        <v>93</v>
      </c>
      <c r="D20" s="66"/>
      <c r="E20" s="60" t="s">
        <v>97</v>
      </c>
      <c r="F20" s="65" t="s">
        <v>136</v>
      </c>
      <c r="G20" s="65" t="s">
        <v>137</v>
      </c>
      <c r="H20" s="66" t="s">
        <v>141</v>
      </c>
      <c r="I20" s="66" t="s">
        <v>138</v>
      </c>
      <c r="J20" s="66" t="s">
        <v>98</v>
      </c>
      <c r="K20" s="83" t="s">
        <v>92</v>
      </c>
      <c r="M20" s="47"/>
      <c r="N20" s="47"/>
      <c r="O20" s="47"/>
      <c r="P20" s="75"/>
      <c r="Q20" s="75"/>
      <c r="R20" s="75"/>
      <c r="S20" s="75"/>
      <c r="T20" s="75"/>
      <c r="U20" s="75"/>
    </row>
    <row r="21" spans="2:21" ht="13.5" thickBot="1" x14ac:dyDescent="0.25">
      <c r="B21" s="84"/>
      <c r="C21" s="67" t="s">
        <v>36</v>
      </c>
      <c r="D21" s="69" t="s">
        <v>99</v>
      </c>
      <c r="E21" s="88" t="s">
        <v>100</v>
      </c>
      <c r="F21" s="74" t="s">
        <v>140</v>
      </c>
      <c r="G21" s="73" t="s">
        <v>100</v>
      </c>
      <c r="H21" s="138" t="s">
        <v>100</v>
      </c>
      <c r="I21" s="69" t="s">
        <v>100</v>
      </c>
      <c r="J21" s="69" t="s">
        <v>101</v>
      </c>
      <c r="K21" s="84"/>
      <c r="M21" s="47"/>
      <c r="N21" s="47"/>
      <c r="O21" s="47"/>
      <c r="P21" s="75"/>
      <c r="Q21" s="75"/>
      <c r="R21" s="75"/>
      <c r="S21" s="75"/>
      <c r="T21" s="75"/>
      <c r="U21" s="75"/>
    </row>
    <row r="22" spans="2:21" x14ac:dyDescent="0.2">
      <c r="B22" s="85" t="s">
        <v>83</v>
      </c>
      <c r="C22" s="106">
        <v>0.19</v>
      </c>
      <c r="D22" s="109">
        <f>$D$5*C22</f>
        <v>273.99467467623651</v>
      </c>
      <c r="E22" s="135">
        <f>D12</f>
        <v>8.76</v>
      </c>
      <c r="F22" s="70">
        <f>D13</f>
        <v>24.55</v>
      </c>
      <c r="G22" s="71">
        <f>(($D$14/100)*$D$16)*D22</f>
        <v>356.90649071329568</v>
      </c>
      <c r="H22" s="72">
        <f>(($D$15/100)*$D$16)*D22</f>
        <v>113.18904957280736</v>
      </c>
      <c r="I22" s="72">
        <f>SUM(E22:H22)</f>
        <v>503.40554028610302</v>
      </c>
      <c r="J22" s="98">
        <f>1.23*I22</f>
        <v>619.18881455190672</v>
      </c>
      <c r="K22" s="85" t="s">
        <v>83</v>
      </c>
      <c r="M22" s="47"/>
      <c r="N22" s="47"/>
      <c r="O22" s="47"/>
      <c r="P22" s="94"/>
      <c r="Q22" s="94"/>
      <c r="R22" s="94"/>
      <c r="S22" s="94"/>
      <c r="T22" s="94"/>
      <c r="U22" s="94"/>
    </row>
    <row r="23" spans="2:21" x14ac:dyDescent="0.2">
      <c r="B23" s="86" t="s">
        <v>84</v>
      </c>
      <c r="C23" s="107">
        <v>0.16</v>
      </c>
      <c r="D23" s="110">
        <f t="shared" ref="D23:D33" si="0">$D$5*C23</f>
        <v>230.73235762209393</v>
      </c>
      <c r="E23" s="136">
        <f>D12</f>
        <v>8.76</v>
      </c>
      <c r="F23" s="74">
        <f>D13</f>
        <v>24.55</v>
      </c>
      <c r="G23" s="75">
        <f t="shared" ref="G23:G33" si="1">(($D$14/100)*$D$16)*D23</f>
        <v>300.55283428488059</v>
      </c>
      <c r="H23" s="76">
        <f t="shared" ref="H23:H33" si="2">(($D$15/100)*$D$16)*D23</f>
        <v>95.317094377100943</v>
      </c>
      <c r="I23" s="76">
        <f t="shared" ref="I23:I33" si="3">SUM(E23:H23)</f>
        <v>429.17992866198153</v>
      </c>
      <c r="J23" s="99">
        <f t="shared" ref="J23:J33" si="4">1.23*I23</f>
        <v>527.89131225423728</v>
      </c>
      <c r="K23" s="86" t="s">
        <v>84</v>
      </c>
      <c r="M23" s="47"/>
      <c r="N23" s="47"/>
      <c r="O23" s="47"/>
      <c r="P23" s="94"/>
      <c r="Q23" s="94"/>
      <c r="R23" s="94"/>
      <c r="S23" s="94"/>
      <c r="T23" s="94"/>
      <c r="U23" s="94"/>
    </row>
    <row r="24" spans="2:21" x14ac:dyDescent="0.2">
      <c r="B24" s="86" t="s">
        <v>85</v>
      </c>
      <c r="C24" s="107">
        <v>0.13</v>
      </c>
      <c r="D24" s="110">
        <f t="shared" si="0"/>
        <v>187.47004056795132</v>
      </c>
      <c r="E24" s="136">
        <f>D12</f>
        <v>8.76</v>
      </c>
      <c r="F24" s="74">
        <f>D13</f>
        <v>24.55</v>
      </c>
      <c r="G24" s="75">
        <f t="shared" si="1"/>
        <v>244.1991778564655</v>
      </c>
      <c r="H24" s="76">
        <f t="shared" si="2"/>
        <v>77.445139181394509</v>
      </c>
      <c r="I24" s="76">
        <f t="shared" si="3"/>
        <v>354.95431703785999</v>
      </c>
      <c r="J24" s="99">
        <f t="shared" si="4"/>
        <v>436.59380995656778</v>
      </c>
      <c r="K24" s="86" t="s">
        <v>85</v>
      </c>
      <c r="M24" s="47"/>
      <c r="N24" s="47"/>
      <c r="O24" s="47"/>
      <c r="P24" s="47"/>
      <c r="Q24" s="47"/>
      <c r="R24" s="47"/>
      <c r="S24" s="47"/>
      <c r="T24" s="47"/>
      <c r="U24" s="47"/>
    </row>
    <row r="25" spans="2:21" x14ac:dyDescent="0.2">
      <c r="B25" s="86" t="s">
        <v>86</v>
      </c>
      <c r="C25" s="107">
        <v>0.06</v>
      </c>
      <c r="D25" s="110">
        <f t="shared" si="0"/>
        <v>86.524634108285213</v>
      </c>
      <c r="E25" s="136">
        <f>D12</f>
        <v>8.76</v>
      </c>
      <c r="F25" s="74">
        <f>D13</f>
        <v>24.55</v>
      </c>
      <c r="G25" s="75">
        <f t="shared" si="1"/>
        <v>112.70731285683021</v>
      </c>
      <c r="H25" s="76">
        <f t="shared" si="2"/>
        <v>35.743910391412847</v>
      </c>
      <c r="I25" s="76">
        <f t="shared" si="3"/>
        <v>181.76122324824306</v>
      </c>
      <c r="J25" s="99">
        <f t="shared" si="4"/>
        <v>223.56630459533895</v>
      </c>
      <c r="K25" s="86" t="s">
        <v>86</v>
      </c>
      <c r="M25" s="59"/>
      <c r="N25" s="47"/>
      <c r="O25" s="47"/>
      <c r="P25" s="47"/>
      <c r="Q25" s="47"/>
      <c r="R25" s="47"/>
      <c r="S25" s="47"/>
      <c r="T25" s="47"/>
      <c r="U25" s="47"/>
    </row>
    <row r="26" spans="2:21" x14ac:dyDescent="0.2">
      <c r="B26" s="86" t="s">
        <v>87</v>
      </c>
      <c r="C26" s="107">
        <v>0.03</v>
      </c>
      <c r="D26" s="110">
        <f t="shared" si="0"/>
        <v>43.262317054142606</v>
      </c>
      <c r="E26" s="136">
        <f>D12</f>
        <v>8.76</v>
      </c>
      <c r="F26" s="74">
        <f>D13</f>
        <v>24.55</v>
      </c>
      <c r="G26" s="75">
        <f t="shared" si="1"/>
        <v>56.353656428415107</v>
      </c>
      <c r="H26" s="76">
        <f t="shared" si="2"/>
        <v>17.871955195706423</v>
      </c>
      <c r="I26" s="76">
        <f t="shared" si="3"/>
        <v>107.53561162412153</v>
      </c>
      <c r="J26" s="99">
        <f t="shared" si="4"/>
        <v>132.26880229766948</v>
      </c>
      <c r="K26" s="86" t="s">
        <v>87</v>
      </c>
      <c r="M26" s="47"/>
      <c r="N26" s="47"/>
      <c r="O26" s="47"/>
      <c r="P26" s="128"/>
      <c r="Q26" s="128"/>
      <c r="R26" s="128"/>
      <c r="S26" s="128"/>
      <c r="T26" s="128"/>
      <c r="U26" s="128"/>
    </row>
    <row r="27" spans="2:21" x14ac:dyDescent="0.2">
      <c r="B27" s="86" t="s">
        <v>88</v>
      </c>
      <c r="C27" s="107">
        <v>0.01</v>
      </c>
      <c r="D27" s="110">
        <f t="shared" si="0"/>
        <v>14.420772351380871</v>
      </c>
      <c r="E27" s="136">
        <f>D12</f>
        <v>8.76</v>
      </c>
      <c r="F27" s="74">
        <f>D13</f>
        <v>24.55</v>
      </c>
      <c r="G27" s="75">
        <f t="shared" si="1"/>
        <v>18.784552142805037</v>
      </c>
      <c r="H27" s="76">
        <f t="shared" si="2"/>
        <v>5.957318398568809</v>
      </c>
      <c r="I27" s="76">
        <f t="shared" si="3"/>
        <v>58.051870541373852</v>
      </c>
      <c r="J27" s="99">
        <f t="shared" si="4"/>
        <v>71.403800765889841</v>
      </c>
      <c r="K27" s="86" t="s">
        <v>88</v>
      </c>
      <c r="M27" s="47"/>
      <c r="N27" s="47"/>
      <c r="O27" s="47"/>
      <c r="P27" s="75"/>
      <c r="Q27" s="75"/>
      <c r="R27" s="75"/>
      <c r="S27" s="75"/>
      <c r="T27" s="75"/>
      <c r="U27" s="75"/>
    </row>
    <row r="28" spans="2:21" x14ac:dyDescent="0.2">
      <c r="B28" s="86" t="s">
        <v>89</v>
      </c>
      <c r="C28" s="107">
        <v>0.01</v>
      </c>
      <c r="D28" s="110">
        <f t="shared" si="0"/>
        <v>14.420772351380871</v>
      </c>
      <c r="E28" s="136">
        <f>D12</f>
        <v>8.76</v>
      </c>
      <c r="F28" s="74">
        <f>D13</f>
        <v>24.55</v>
      </c>
      <c r="G28" s="75">
        <f t="shared" si="1"/>
        <v>18.784552142805037</v>
      </c>
      <c r="H28" s="76">
        <f t="shared" si="2"/>
        <v>5.957318398568809</v>
      </c>
      <c r="I28" s="76">
        <f t="shared" si="3"/>
        <v>58.051870541373852</v>
      </c>
      <c r="J28" s="99">
        <f t="shared" si="4"/>
        <v>71.403800765889841</v>
      </c>
      <c r="K28" s="86" t="s">
        <v>89</v>
      </c>
      <c r="M28" s="47"/>
      <c r="N28" s="47"/>
      <c r="O28" s="47"/>
      <c r="P28" s="75"/>
      <c r="Q28" s="75"/>
      <c r="R28" s="75"/>
      <c r="S28" s="75"/>
      <c r="T28" s="75"/>
      <c r="U28" s="75"/>
    </row>
    <row r="29" spans="2:21" x14ac:dyDescent="0.2">
      <c r="B29" s="86" t="s">
        <v>90</v>
      </c>
      <c r="C29" s="107">
        <v>0.01</v>
      </c>
      <c r="D29" s="110">
        <f t="shared" si="0"/>
        <v>14.420772351380871</v>
      </c>
      <c r="E29" s="136">
        <f>D12</f>
        <v>8.76</v>
      </c>
      <c r="F29" s="74">
        <f>D13</f>
        <v>24.55</v>
      </c>
      <c r="G29" s="75">
        <f t="shared" si="1"/>
        <v>18.784552142805037</v>
      </c>
      <c r="H29" s="76">
        <f t="shared" si="2"/>
        <v>5.957318398568809</v>
      </c>
      <c r="I29" s="76">
        <f t="shared" si="3"/>
        <v>58.051870541373852</v>
      </c>
      <c r="J29" s="99">
        <f t="shared" si="4"/>
        <v>71.403800765889841</v>
      </c>
      <c r="K29" s="86" t="s">
        <v>90</v>
      </c>
      <c r="M29" s="47"/>
      <c r="N29" s="47"/>
      <c r="O29" s="47"/>
      <c r="P29" s="94"/>
      <c r="Q29" s="94"/>
      <c r="R29" s="94"/>
      <c r="S29" s="94"/>
      <c r="T29" s="94"/>
      <c r="U29" s="94"/>
    </row>
    <row r="30" spans="2:21" x14ac:dyDescent="0.2">
      <c r="B30" s="86" t="s">
        <v>91</v>
      </c>
      <c r="C30" s="107">
        <v>0.02</v>
      </c>
      <c r="D30" s="110">
        <f t="shared" si="0"/>
        <v>28.841544702761741</v>
      </c>
      <c r="E30" s="136">
        <f>D12</f>
        <v>8.76</v>
      </c>
      <c r="F30" s="74">
        <f>D13</f>
        <v>24.55</v>
      </c>
      <c r="G30" s="75">
        <f t="shared" si="1"/>
        <v>37.569104285610074</v>
      </c>
      <c r="H30" s="76">
        <f t="shared" si="2"/>
        <v>11.914636797137618</v>
      </c>
      <c r="I30" s="76">
        <f t="shared" si="3"/>
        <v>82.793741082747701</v>
      </c>
      <c r="J30" s="99">
        <f t="shared" si="4"/>
        <v>101.83630153177967</v>
      </c>
      <c r="K30" s="86" t="s">
        <v>91</v>
      </c>
      <c r="M30" s="47"/>
      <c r="N30" s="47"/>
      <c r="O30" s="47"/>
      <c r="P30" s="94"/>
      <c r="Q30" s="94"/>
      <c r="R30" s="94"/>
      <c r="S30" s="94"/>
      <c r="T30" s="94"/>
      <c r="U30" s="94"/>
    </row>
    <row r="31" spans="2:21" x14ac:dyDescent="0.2">
      <c r="B31" s="86" t="s">
        <v>94</v>
      </c>
      <c r="C31" s="107">
        <v>0.08</v>
      </c>
      <c r="D31" s="110">
        <f t="shared" si="0"/>
        <v>115.36617881104696</v>
      </c>
      <c r="E31" s="136">
        <f>D12</f>
        <v>8.76</v>
      </c>
      <c r="F31" s="74">
        <f>D13</f>
        <v>24.55</v>
      </c>
      <c r="G31" s="75">
        <f t="shared" si="1"/>
        <v>150.27641714244029</v>
      </c>
      <c r="H31" s="76">
        <f t="shared" si="2"/>
        <v>47.658547188550472</v>
      </c>
      <c r="I31" s="76">
        <f t="shared" si="3"/>
        <v>231.24496433099077</v>
      </c>
      <c r="J31" s="99">
        <f t="shared" si="4"/>
        <v>284.43130612711866</v>
      </c>
      <c r="K31" s="86" t="s">
        <v>94</v>
      </c>
      <c r="M31" s="47"/>
      <c r="N31" s="47"/>
      <c r="O31" s="47"/>
      <c r="P31" s="47"/>
      <c r="Q31" s="47"/>
      <c r="R31" s="47"/>
      <c r="S31" s="47"/>
      <c r="T31" s="47"/>
      <c r="U31" s="47"/>
    </row>
    <row r="32" spans="2:21" x14ac:dyDescent="0.2">
      <c r="B32" s="86" t="s">
        <v>96</v>
      </c>
      <c r="C32" s="107">
        <v>0.12</v>
      </c>
      <c r="D32" s="110">
        <f t="shared" si="0"/>
        <v>173.04926821657043</v>
      </c>
      <c r="E32" s="136">
        <f>D12</f>
        <v>8.76</v>
      </c>
      <c r="F32" s="74">
        <f>D13</f>
        <v>24.55</v>
      </c>
      <c r="G32" s="75">
        <f t="shared" si="1"/>
        <v>225.41462571366043</v>
      </c>
      <c r="H32" s="76">
        <f t="shared" si="2"/>
        <v>71.487820782825693</v>
      </c>
      <c r="I32" s="76">
        <f t="shared" si="3"/>
        <v>330.21244649648611</v>
      </c>
      <c r="J32" s="99">
        <f t="shared" si="4"/>
        <v>406.16130919067791</v>
      </c>
      <c r="K32" s="86" t="s">
        <v>96</v>
      </c>
      <c r="M32" s="59"/>
      <c r="N32" s="47"/>
      <c r="O32" s="47"/>
      <c r="P32" s="47"/>
      <c r="Q32" s="47"/>
      <c r="R32" s="47"/>
      <c r="S32" s="47"/>
      <c r="T32" s="47"/>
      <c r="U32" s="47"/>
    </row>
    <row r="33" spans="1:21" ht="13.5" thickBot="1" x14ac:dyDescent="0.25">
      <c r="B33" s="87" t="s">
        <v>95</v>
      </c>
      <c r="C33" s="108">
        <v>0.18</v>
      </c>
      <c r="D33" s="111">
        <f t="shared" si="0"/>
        <v>259.57390232485562</v>
      </c>
      <c r="E33" s="137">
        <f>D12</f>
        <v>8.76</v>
      </c>
      <c r="F33" s="68">
        <f>D13</f>
        <v>24.55</v>
      </c>
      <c r="G33" s="77">
        <f t="shared" si="1"/>
        <v>338.12193857049061</v>
      </c>
      <c r="H33" s="78">
        <f t="shared" si="2"/>
        <v>107.23173117423855</v>
      </c>
      <c r="I33" s="78">
        <f t="shared" si="3"/>
        <v>478.66366974472919</v>
      </c>
      <c r="J33" s="100">
        <f t="shared" si="4"/>
        <v>588.7563137860169</v>
      </c>
      <c r="K33" s="87" t="s">
        <v>95</v>
      </c>
      <c r="M33" s="47"/>
      <c r="N33" s="47"/>
      <c r="O33" s="47"/>
      <c r="P33" s="128"/>
      <c r="Q33" s="128"/>
      <c r="R33" s="128"/>
      <c r="S33" s="128"/>
      <c r="T33" s="128"/>
      <c r="U33" s="128"/>
    </row>
    <row r="34" spans="1:21" ht="13.5" thickBot="1" x14ac:dyDescent="0.25">
      <c r="B34" s="79" t="s">
        <v>103</v>
      </c>
      <c r="C34" s="80">
        <f>SUM(C22:C33)</f>
        <v>1</v>
      </c>
      <c r="D34" s="82">
        <f>SUM(D22:D33)</f>
        <v>1442.077235138087</v>
      </c>
      <c r="E34" s="129"/>
      <c r="F34" s="129"/>
      <c r="G34" s="129"/>
      <c r="H34" s="129"/>
      <c r="I34" s="81"/>
      <c r="J34" s="101">
        <f>SUM(J22:J33)</f>
        <v>3534.9056765889827</v>
      </c>
      <c r="K34" s="105"/>
      <c r="L34" s="57"/>
      <c r="M34" s="47"/>
      <c r="N34" s="47"/>
      <c r="O34" s="47"/>
      <c r="P34" s="75"/>
      <c r="Q34" s="75"/>
      <c r="R34" s="75"/>
      <c r="S34" s="75"/>
      <c r="T34" s="75"/>
      <c r="U34" s="75"/>
    </row>
    <row r="35" spans="1:21" ht="13.5" thickBot="1" x14ac:dyDescent="0.25">
      <c r="G35" s="79" t="s">
        <v>168</v>
      </c>
      <c r="H35" s="81"/>
      <c r="I35" s="81"/>
      <c r="J35" s="97">
        <f>J34/D34</f>
        <v>2.4512596069450439</v>
      </c>
      <c r="K35" s="75" t="s">
        <v>169</v>
      </c>
      <c r="M35" s="47"/>
      <c r="N35" s="47"/>
      <c r="O35" s="47"/>
      <c r="P35" s="75"/>
      <c r="Q35" s="75"/>
      <c r="R35" s="75"/>
      <c r="S35" s="75"/>
      <c r="T35" s="75"/>
      <c r="U35" s="75"/>
    </row>
    <row r="36" spans="1:21" x14ac:dyDescent="0.2">
      <c r="M36" s="47"/>
      <c r="N36" s="47"/>
      <c r="O36" s="47"/>
      <c r="P36" s="94"/>
      <c r="Q36" s="94"/>
      <c r="R36" s="94"/>
      <c r="S36" s="94"/>
      <c r="T36" s="94"/>
      <c r="U36" s="94"/>
    </row>
    <row r="37" spans="1:21" x14ac:dyDescent="0.2">
      <c r="B37" s="57"/>
      <c r="M37" s="47"/>
      <c r="N37" s="47"/>
      <c r="O37" s="47"/>
      <c r="P37" s="94"/>
      <c r="Q37" s="94"/>
      <c r="R37" s="94"/>
      <c r="S37" s="94"/>
      <c r="T37" s="94"/>
      <c r="U37" s="94"/>
    </row>
    <row r="38" spans="1:21" x14ac:dyDescent="0.2">
      <c r="M38" s="47"/>
      <c r="N38" s="47"/>
      <c r="O38" s="47"/>
      <c r="P38" s="47"/>
      <c r="Q38" s="47"/>
      <c r="R38" s="47"/>
      <c r="S38" s="47"/>
      <c r="T38" s="47"/>
      <c r="U38" s="47"/>
    </row>
    <row r="39" spans="1:21" ht="15.75" x14ac:dyDescent="0.25">
      <c r="B39" s="89" t="s">
        <v>81</v>
      </c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15.75" x14ac:dyDescent="0.25">
      <c r="B40" s="89"/>
      <c r="M40" s="59"/>
      <c r="N40" s="47"/>
      <c r="O40" s="47"/>
      <c r="P40" s="47"/>
      <c r="Q40" s="47"/>
      <c r="R40" s="47"/>
      <c r="S40" s="47"/>
      <c r="T40" s="47"/>
      <c r="U40" s="47"/>
    </row>
    <row r="41" spans="1:21" x14ac:dyDescent="0.2">
      <c r="M41" s="47"/>
      <c r="N41" s="47"/>
      <c r="O41" s="47"/>
      <c r="P41" s="128"/>
      <c r="Q41" s="128"/>
      <c r="R41" s="128"/>
      <c r="S41" s="128"/>
      <c r="T41" s="128"/>
      <c r="U41" s="128"/>
    </row>
    <row r="42" spans="1:21" x14ac:dyDescent="0.2">
      <c r="B42" s="57"/>
      <c r="M42" s="47"/>
      <c r="N42" s="47"/>
      <c r="O42" s="47"/>
      <c r="P42" s="75"/>
      <c r="Q42" s="75"/>
      <c r="R42" s="75"/>
      <c r="S42" s="75"/>
      <c r="T42" s="75"/>
      <c r="U42" s="75"/>
    </row>
    <row r="43" spans="1:21" x14ac:dyDescent="0.2">
      <c r="M43" s="47"/>
      <c r="N43" s="47"/>
      <c r="O43" s="47"/>
      <c r="P43" s="75"/>
      <c r="Q43" s="75"/>
      <c r="R43" s="75"/>
      <c r="S43" s="75"/>
      <c r="T43" s="75"/>
      <c r="U43" s="75"/>
    </row>
    <row r="44" spans="1:21" x14ac:dyDescent="0.2">
      <c r="B44" s="57"/>
      <c r="M44" s="47"/>
      <c r="N44" s="47"/>
      <c r="O44" s="47"/>
      <c r="P44" s="94"/>
      <c r="Q44" s="94"/>
      <c r="R44" s="94"/>
      <c r="S44" s="94"/>
      <c r="T44" s="94"/>
      <c r="U44" s="94"/>
    </row>
    <row r="45" spans="1:21" x14ac:dyDescent="0.2">
      <c r="A45" s="47"/>
      <c r="B45" s="47"/>
      <c r="C45" s="47"/>
      <c r="D45" s="73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94"/>
      <c r="Q45" s="94"/>
      <c r="R45" s="94"/>
      <c r="S45" s="94"/>
      <c r="T45" s="94"/>
      <c r="U45" s="94"/>
    </row>
    <row r="46" spans="1:21" x14ac:dyDescent="0.2">
      <c r="A46" s="47"/>
      <c r="B46" s="47"/>
      <c r="C46" s="47"/>
      <c r="D46" s="73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 x14ac:dyDescent="0.2">
      <c r="A47" s="47"/>
      <c r="B47" s="47"/>
      <c r="C47" s="47"/>
      <c r="D47" s="73"/>
      <c r="E47" s="47"/>
      <c r="F47" s="93"/>
      <c r="G47" s="93"/>
      <c r="H47" s="93"/>
      <c r="I47" s="93"/>
      <c r="J47" s="93"/>
      <c r="K47" s="93"/>
      <c r="L47" s="93"/>
      <c r="M47" s="59"/>
      <c r="N47" s="47"/>
      <c r="O47" s="47"/>
      <c r="P47" s="47"/>
      <c r="Q47" s="47"/>
      <c r="R47" s="47"/>
      <c r="S47" s="47"/>
      <c r="T47" s="47"/>
      <c r="U47" s="47"/>
    </row>
    <row r="48" spans="1:21" x14ac:dyDescent="0.2">
      <c r="A48" s="47"/>
      <c r="B48" s="47"/>
      <c r="C48" s="47"/>
      <c r="D48" s="73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128"/>
      <c r="Q48" s="128"/>
      <c r="R48" s="128"/>
      <c r="S48" s="128"/>
      <c r="T48" s="128"/>
      <c r="U48" s="128"/>
    </row>
    <row r="49" spans="1:21" x14ac:dyDescent="0.2">
      <c r="A49" s="47"/>
      <c r="B49" s="59"/>
      <c r="C49" s="47"/>
      <c r="D49" s="47"/>
      <c r="E49" s="47"/>
      <c r="F49" s="90"/>
      <c r="G49" s="90"/>
      <c r="H49" s="90"/>
      <c r="I49" s="90"/>
      <c r="J49" s="90"/>
      <c r="K49" s="90"/>
      <c r="L49" s="90"/>
      <c r="M49" s="47"/>
      <c r="N49" s="47"/>
      <c r="O49" s="47"/>
      <c r="P49" s="75"/>
      <c r="Q49" s="75"/>
      <c r="R49" s="75"/>
      <c r="S49" s="75"/>
      <c r="T49" s="75"/>
      <c r="U49" s="75"/>
    </row>
    <row r="50" spans="1:21" x14ac:dyDescent="0.2">
      <c r="A50" s="47"/>
      <c r="B50" s="91"/>
      <c r="C50" s="47"/>
      <c r="D50" s="47"/>
      <c r="E50" s="47"/>
      <c r="F50" s="92"/>
      <c r="G50" s="92"/>
      <c r="H50" s="92"/>
      <c r="I50" s="92"/>
      <c r="J50" s="92"/>
      <c r="K50" s="92"/>
      <c r="L50" s="92"/>
      <c r="M50" s="47"/>
      <c r="N50" s="47"/>
      <c r="O50" s="47"/>
      <c r="P50" s="75"/>
      <c r="Q50" s="75"/>
      <c r="R50" s="75"/>
      <c r="S50" s="75"/>
      <c r="T50" s="75"/>
      <c r="U50" s="75"/>
    </row>
    <row r="51" spans="1:21" x14ac:dyDescent="0.2">
      <c r="M51" s="47"/>
      <c r="N51" s="47"/>
      <c r="O51" s="47"/>
      <c r="P51" s="94"/>
      <c r="Q51" s="94"/>
      <c r="R51" s="94"/>
      <c r="S51" s="94"/>
      <c r="T51" s="94"/>
      <c r="U51" s="94"/>
    </row>
    <row r="52" spans="1:21" x14ac:dyDescent="0.2">
      <c r="M52" s="47"/>
      <c r="N52" s="47"/>
      <c r="O52" s="47"/>
      <c r="P52" s="94"/>
      <c r="Q52" s="94"/>
      <c r="R52" s="94"/>
      <c r="S52" s="94"/>
      <c r="T52" s="94"/>
      <c r="U52" s="94"/>
    </row>
    <row r="53" spans="1:21" x14ac:dyDescent="0.2">
      <c r="A53" s="47"/>
      <c r="B53" s="59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x14ac:dyDescent="0.2">
      <c r="A54" s="47"/>
      <c r="B54" s="47"/>
      <c r="C54" s="47"/>
      <c r="D54" s="73"/>
      <c r="E54" s="47"/>
      <c r="F54" s="47"/>
      <c r="G54" s="47"/>
      <c r="H54" s="47"/>
      <c r="I54" s="47"/>
      <c r="J54" s="47"/>
      <c r="K54" s="47"/>
      <c r="L54" s="47"/>
      <c r="M54" s="59"/>
      <c r="N54" s="47"/>
      <c r="O54" s="47"/>
      <c r="P54" s="47"/>
      <c r="Q54" s="47"/>
      <c r="R54" s="47"/>
      <c r="S54" s="47"/>
      <c r="T54" s="47"/>
      <c r="U54" s="47"/>
    </row>
    <row r="55" spans="1:21" x14ac:dyDescent="0.2">
      <c r="A55" s="47"/>
      <c r="B55" s="47"/>
      <c r="C55" s="47"/>
      <c r="D55" s="73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128"/>
      <c r="Q55" s="128"/>
      <c r="R55" s="128"/>
      <c r="S55" s="128"/>
      <c r="T55" s="128"/>
      <c r="U55" s="128"/>
    </row>
    <row r="56" spans="1:21" x14ac:dyDescent="0.2">
      <c r="A56" s="47"/>
      <c r="B56" s="47"/>
      <c r="C56" s="47"/>
      <c r="D56" s="73"/>
      <c r="E56" s="47"/>
      <c r="F56" s="93"/>
      <c r="G56" s="93"/>
      <c r="H56" s="93"/>
      <c r="I56" s="93"/>
      <c r="J56" s="93"/>
      <c r="K56" s="93"/>
      <c r="L56" s="93"/>
      <c r="M56" s="47"/>
      <c r="N56" s="47"/>
      <c r="O56" s="47"/>
      <c r="P56" s="75"/>
      <c r="Q56" s="75"/>
      <c r="R56" s="75"/>
      <c r="S56" s="75"/>
      <c r="T56" s="75"/>
      <c r="U56" s="75"/>
    </row>
    <row r="57" spans="1:21" x14ac:dyDescent="0.2">
      <c r="A57" s="47"/>
      <c r="B57" s="47"/>
      <c r="C57" s="47"/>
      <c r="D57" s="73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75"/>
      <c r="Q57" s="75"/>
      <c r="R57" s="75"/>
      <c r="S57" s="75"/>
      <c r="T57" s="75"/>
      <c r="U57" s="75"/>
    </row>
    <row r="58" spans="1:21" x14ac:dyDescent="0.2">
      <c r="A58" s="47"/>
      <c r="B58" s="59"/>
      <c r="C58" s="47"/>
      <c r="D58" s="47"/>
      <c r="E58" s="47"/>
      <c r="F58" s="90"/>
      <c r="G58" s="90"/>
      <c r="H58" s="90"/>
      <c r="I58" s="90"/>
      <c r="J58" s="90"/>
      <c r="K58" s="90"/>
      <c r="L58" s="90"/>
      <c r="M58" s="47"/>
      <c r="N58" s="47"/>
      <c r="O58" s="47"/>
      <c r="P58" s="94"/>
      <c r="Q58" s="94"/>
      <c r="R58" s="94"/>
      <c r="S58" s="94"/>
      <c r="T58" s="94"/>
      <c r="U58" s="94"/>
    </row>
    <row r="59" spans="1:21" x14ac:dyDescent="0.2">
      <c r="A59" s="47"/>
      <c r="B59" s="91"/>
      <c r="C59" s="47"/>
      <c r="D59" s="47"/>
      <c r="E59" s="47"/>
      <c r="F59" s="92"/>
      <c r="G59" s="92"/>
      <c r="H59" s="92"/>
      <c r="I59" s="92"/>
      <c r="J59" s="92"/>
      <c r="K59" s="92"/>
      <c r="L59" s="92"/>
      <c r="M59" s="47"/>
      <c r="N59" s="47"/>
      <c r="O59" s="47"/>
      <c r="P59" s="94"/>
      <c r="Q59" s="94"/>
      <c r="R59" s="94"/>
      <c r="S59" s="94"/>
      <c r="T59" s="94"/>
      <c r="U59" s="94"/>
    </row>
    <row r="60" spans="1:2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75"/>
      <c r="Q60" s="75"/>
      <c r="R60" s="75"/>
      <c r="S60" s="75"/>
      <c r="T60" s="75"/>
      <c r="U60" s="75"/>
    </row>
    <row r="61" spans="1:21" x14ac:dyDescent="0.2">
      <c r="A61" s="47"/>
      <c r="B61" s="59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75"/>
      <c r="Q61" s="75"/>
      <c r="R61" s="75"/>
      <c r="S61" s="75"/>
      <c r="T61" s="75"/>
      <c r="U61" s="75"/>
    </row>
    <row r="62" spans="1:21" x14ac:dyDescent="0.2">
      <c r="A62" s="47"/>
      <c r="B62" s="47"/>
      <c r="C62" s="47"/>
      <c r="D62" s="73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94"/>
      <c r="Q62" s="94"/>
      <c r="R62" s="94"/>
      <c r="S62" s="94"/>
      <c r="T62" s="94"/>
      <c r="U62" s="94"/>
    </row>
    <row r="63" spans="1:21" x14ac:dyDescent="0.2">
      <c r="A63" s="47"/>
      <c r="B63" s="47"/>
      <c r="C63" s="47"/>
      <c r="D63" s="73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94"/>
      <c r="Q63" s="94"/>
      <c r="R63" s="94"/>
      <c r="S63" s="94"/>
      <c r="T63" s="94"/>
      <c r="U63" s="94"/>
    </row>
    <row r="64" spans="1:21" x14ac:dyDescent="0.2">
      <c r="M64" s="90"/>
      <c r="N64" s="90"/>
      <c r="O64" s="90"/>
      <c r="P64" s="47"/>
      <c r="Q64" s="47"/>
    </row>
    <row r="65" spans="2:17" x14ac:dyDescent="0.2">
      <c r="M65" s="92"/>
      <c r="N65" s="92"/>
      <c r="O65" s="92"/>
      <c r="P65" s="47"/>
      <c r="Q65" s="47"/>
    </row>
    <row r="71" spans="2:17" x14ac:dyDescent="0.2">
      <c r="B71" s="54"/>
      <c r="C71" s="3"/>
    </row>
    <row r="72" spans="2:17" x14ac:dyDescent="0.2">
      <c r="B72" s="3"/>
      <c r="C72" s="3"/>
    </row>
  </sheetData>
  <sheetProtection algorithmName="SHA-512" hashValue="VROrYF8iU8dWqO8Eh2MlZ0PEKkUDU4ldeRrGyHcGs7fdMBspS89v7G2tyN9PJlGfubPLXC/iTU2WtrikOJOMLQ==" saltValue="HoRVEAu32UgFRXevbzChOA==" spinCount="100000" sheet="1" objects="1" scenarios="1"/>
  <pageMargins left="0.7" right="0.5" top="0.41" bottom="1.1399999999999999" header="0.41" footer="0.5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Koszty ogrzewania</vt:lpstr>
      <vt:lpstr>Symulator - gaz ziemny</vt:lpstr>
      <vt:lpstr>Wykres - Koszty ogrzewania</vt:lpstr>
      <vt:lpstr>Wykres - Cena 1 kWh</vt:lpstr>
      <vt:lpstr>'Koszty ogrzewania'!Obszar_wydruku</vt:lpstr>
      <vt:lpstr>'Symulator - gaz ziemny'!Obszar_wydruku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2019-09-30T15:26:21Z</dcterms:modified>
</cp:coreProperties>
</file>